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xr:revisionPtr revIDLastSave="0" documentId="8_{BFD6A18C-6BF6-47A7-A93D-FEB0AAD399EA}" xr6:coauthVersionLast="47" xr6:coauthVersionMax="47" xr10:uidLastSave="{00000000-0000-0000-0000-000000000000}"/>
  <bookViews>
    <workbookView xWindow="0" yWindow="0" windowWidth="23040" windowHeight="12960" activeTab="3" xr2:uid="{CCF523AD-CD48-4FEF-8704-59CF0B6E4609}"/>
  </bookViews>
  <sheets>
    <sheet name="Inputs &amp; BOM" sheetId="1" r:id="rId1"/>
    <sheet name="Procurement" sheetId="2" r:id="rId2"/>
    <sheet name="Cost" sheetId="3" r:id="rId3"/>
    <sheet name="Dashboard" sheetId="4" r:id="rId4"/>
  </sheets>
  <definedNames>
    <definedName name="Slicer_Supplier">#N/A</definedName>
  </definedNames>
  <calcPr calcId="191029"/>
  <pivotCaches>
    <pivotCache cacheId="4" r:id="rId5"/>
  </pivotCaches>
  <extLst>
    <ext xmlns:x14="http://schemas.microsoft.com/office/spreadsheetml/2009/9/main" uri="{BBE1A952-AA13-448e-AADC-164F8A28A991}">
      <x14:slicerCaches>
        <x14:slicerCache r:id="rId6"/>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P17" i="4" l="1"/>
  <c r="P16" i="4"/>
  <c r="P15" i="4"/>
  <c r="P14" i="4"/>
  <c r="P13" i="4"/>
  <c r="P12" i="4"/>
  <c r="P11" i="4"/>
  <c r="N7" i="4"/>
  <c r="N6" i="4"/>
  <c r="J7" i="4"/>
  <c r="J6" i="4"/>
  <c r="F7" i="4"/>
  <c r="F6" i="4"/>
  <c r="B7" i="4"/>
  <c r="B6" i="4"/>
  <c r="B3" i="4"/>
  <c r="P14" i="3"/>
  <c r="O14" i="3"/>
  <c r="N14" i="3"/>
  <c r="M14" i="3"/>
  <c r="P13" i="3"/>
  <c r="O13" i="3"/>
  <c r="N13" i="3"/>
  <c r="M13" i="3"/>
  <c r="P12" i="3"/>
  <c r="O12" i="3"/>
  <c r="N12" i="3"/>
  <c r="M12" i="3"/>
  <c r="P11" i="3"/>
  <c r="O11" i="3"/>
  <c r="N11" i="3"/>
  <c r="M11" i="3"/>
  <c r="P10" i="3"/>
  <c r="O10" i="3"/>
  <c r="N10" i="3"/>
  <c r="M10" i="3"/>
  <c r="P9" i="3"/>
  <c r="O9" i="3"/>
  <c r="N9" i="3"/>
  <c r="M9" i="3"/>
  <c r="P8" i="3"/>
  <c r="O8" i="3"/>
  <c r="N8" i="3"/>
  <c r="M8" i="3"/>
  <c r="P7" i="3"/>
  <c r="O7" i="3"/>
  <c r="N7" i="3"/>
  <c r="M7" i="3"/>
  <c r="P6" i="3"/>
  <c r="O6" i="3"/>
  <c r="N6" i="3"/>
  <c r="M6" i="3"/>
  <c r="H25" i="3"/>
  <c r="G25" i="3"/>
  <c r="F25" i="3"/>
  <c r="E25" i="3"/>
  <c r="H7" i="3"/>
  <c r="H8" i="3"/>
  <c r="H15" i="3"/>
  <c r="G6" i="3"/>
  <c r="H6" i="3" s="1"/>
  <c r="G7" i="3"/>
  <c r="G8" i="3"/>
  <c r="G9" i="3"/>
  <c r="G10" i="3"/>
  <c r="G11" i="3"/>
  <c r="G13" i="3"/>
  <c r="G14" i="3"/>
  <c r="G15" i="3"/>
  <c r="G17" i="3"/>
  <c r="G18" i="3"/>
  <c r="G19" i="3"/>
  <c r="G21" i="3"/>
  <c r="G22" i="3"/>
  <c r="G24" i="3"/>
  <c r="E6" i="3"/>
  <c r="E7" i="3"/>
  <c r="I7" i="3" s="1"/>
  <c r="E8" i="3"/>
  <c r="I8" i="3" s="1"/>
  <c r="E9" i="3"/>
  <c r="E10" i="3"/>
  <c r="H10" i="3" s="1"/>
  <c r="E11" i="3"/>
  <c r="H11" i="3" s="1"/>
  <c r="E12" i="3"/>
  <c r="E13" i="3"/>
  <c r="E14" i="3"/>
  <c r="E15" i="3"/>
  <c r="I15" i="3" s="1"/>
  <c r="E16" i="3"/>
  <c r="G16" i="3" s="1"/>
  <c r="E17" i="3"/>
  <c r="E18" i="3"/>
  <c r="H18" i="3" s="1"/>
  <c r="E19" i="3"/>
  <c r="H19" i="3" s="1"/>
  <c r="E20" i="3"/>
  <c r="E21" i="3"/>
  <c r="E22" i="3"/>
  <c r="E23" i="3"/>
  <c r="G23" i="3" s="1"/>
  <c r="E24" i="3"/>
  <c r="D6" i="3"/>
  <c r="D7" i="3"/>
  <c r="D8" i="3"/>
  <c r="D9" i="3"/>
  <c r="D10" i="3"/>
  <c r="D11" i="3"/>
  <c r="D12" i="3"/>
  <c r="D13" i="3"/>
  <c r="D14" i="3"/>
  <c r="D15" i="3"/>
  <c r="D16" i="3"/>
  <c r="D17" i="3"/>
  <c r="D18" i="3"/>
  <c r="D19" i="3"/>
  <c r="D20" i="3"/>
  <c r="D21" i="3"/>
  <c r="D22" i="3"/>
  <c r="D23" i="3"/>
  <c r="D24" i="3"/>
  <c r="C6" i="3"/>
  <c r="C7" i="3"/>
  <c r="C8" i="3"/>
  <c r="C9" i="3"/>
  <c r="C10" i="3"/>
  <c r="C11" i="3"/>
  <c r="C12" i="3"/>
  <c r="C13" i="3"/>
  <c r="C14" i="3"/>
  <c r="C15" i="3"/>
  <c r="C16" i="3"/>
  <c r="C17" i="3"/>
  <c r="C18" i="3"/>
  <c r="C19" i="3"/>
  <c r="C20" i="3"/>
  <c r="C21" i="3"/>
  <c r="C22" i="3"/>
  <c r="C23" i="3"/>
  <c r="C24" i="3"/>
  <c r="L21" i="2"/>
  <c r="L22" i="2"/>
  <c r="L23" i="2"/>
  <c r="L24" i="2"/>
  <c r="L25" i="2"/>
  <c r="L26" i="2"/>
  <c r="L27" i="2"/>
  <c r="L28" i="2"/>
  <c r="L29" i="2"/>
  <c r="L30" i="2"/>
  <c r="L31" i="2"/>
  <c r="L32" i="2"/>
  <c r="L33" i="2"/>
  <c r="L34" i="2"/>
  <c r="L35" i="2"/>
  <c r="L36" i="2"/>
  <c r="L37" i="2"/>
  <c r="L38" i="2"/>
  <c r="L39" i="2"/>
  <c r="K21" i="2"/>
  <c r="K22" i="2"/>
  <c r="K23" i="2"/>
  <c r="K24" i="2"/>
  <c r="K25" i="2"/>
  <c r="K26" i="2"/>
  <c r="K27" i="2"/>
  <c r="K28" i="2"/>
  <c r="K29" i="2"/>
  <c r="K30" i="2"/>
  <c r="K31" i="2"/>
  <c r="K32" i="2"/>
  <c r="K33" i="2"/>
  <c r="K34" i="2"/>
  <c r="K35" i="2"/>
  <c r="K36" i="2"/>
  <c r="K37" i="2"/>
  <c r="K38" i="2"/>
  <c r="K39" i="2"/>
  <c r="I21" i="2"/>
  <c r="I22" i="2"/>
  <c r="I23" i="2"/>
  <c r="I24" i="2"/>
  <c r="I25" i="2"/>
  <c r="I26" i="2"/>
  <c r="I27" i="2"/>
  <c r="I28" i="2"/>
  <c r="I29" i="2"/>
  <c r="I30" i="2"/>
  <c r="I31" i="2"/>
  <c r="I32" i="2"/>
  <c r="I33" i="2"/>
  <c r="I34" i="2"/>
  <c r="I35" i="2"/>
  <c r="I36" i="2"/>
  <c r="I37" i="2"/>
  <c r="I38" i="2"/>
  <c r="I39" i="2"/>
  <c r="G21" i="2"/>
  <c r="G22" i="2"/>
  <c r="G23" i="2"/>
  <c r="G24" i="2"/>
  <c r="G25" i="2"/>
  <c r="G26" i="2"/>
  <c r="G27" i="2"/>
  <c r="G28" i="2"/>
  <c r="G29" i="2"/>
  <c r="G30" i="2"/>
  <c r="G31" i="2"/>
  <c r="G32" i="2"/>
  <c r="G33" i="2"/>
  <c r="G34" i="2"/>
  <c r="G35" i="2"/>
  <c r="G36" i="2"/>
  <c r="G37" i="2"/>
  <c r="G38" i="2"/>
  <c r="G39" i="2"/>
  <c r="F21" i="2"/>
  <c r="F22" i="2"/>
  <c r="F23" i="2"/>
  <c r="F24" i="2"/>
  <c r="F25" i="2"/>
  <c r="F26" i="2"/>
  <c r="F27" i="2"/>
  <c r="F28" i="2"/>
  <c r="F29" i="2"/>
  <c r="F30" i="2"/>
  <c r="F31" i="2"/>
  <c r="F32" i="2"/>
  <c r="F33" i="2"/>
  <c r="F34" i="2"/>
  <c r="F35" i="2"/>
  <c r="F36" i="2"/>
  <c r="F37" i="2"/>
  <c r="F38" i="2"/>
  <c r="F39" i="2"/>
  <c r="E21" i="2"/>
  <c r="E22" i="2"/>
  <c r="E23" i="2"/>
  <c r="E24" i="2"/>
  <c r="E25" i="2"/>
  <c r="E26" i="2"/>
  <c r="E27" i="2"/>
  <c r="E28" i="2"/>
  <c r="E29" i="2"/>
  <c r="E30" i="2"/>
  <c r="E31" i="2"/>
  <c r="E32" i="2"/>
  <c r="E33" i="2"/>
  <c r="E34" i="2"/>
  <c r="E35" i="2"/>
  <c r="E36" i="2"/>
  <c r="E37" i="2"/>
  <c r="E38" i="2"/>
  <c r="E39" i="2"/>
  <c r="D21" i="2"/>
  <c r="D22" i="2"/>
  <c r="D23" i="2"/>
  <c r="D24" i="2"/>
  <c r="D25" i="2"/>
  <c r="D26" i="2"/>
  <c r="D27" i="2"/>
  <c r="D28" i="2"/>
  <c r="D29" i="2"/>
  <c r="D30" i="2"/>
  <c r="D31" i="2"/>
  <c r="D32" i="2"/>
  <c r="D33" i="2"/>
  <c r="D34" i="2"/>
  <c r="D35" i="2"/>
  <c r="D36" i="2"/>
  <c r="D37" i="2"/>
  <c r="D38" i="2"/>
  <c r="D39" i="2"/>
  <c r="C21" i="2"/>
  <c r="C22" i="2"/>
  <c r="C23" i="2"/>
  <c r="C24" i="2"/>
  <c r="C25" i="2"/>
  <c r="C26" i="2"/>
  <c r="C27" i="2"/>
  <c r="C28" i="2"/>
  <c r="C29" i="2"/>
  <c r="C30" i="2"/>
  <c r="C31" i="2"/>
  <c r="C32" i="2"/>
  <c r="C33" i="2"/>
  <c r="C34" i="2"/>
  <c r="C35" i="2"/>
  <c r="C36" i="2"/>
  <c r="C37" i="2"/>
  <c r="C38" i="2"/>
  <c r="C39" i="2"/>
  <c r="E11" i="2"/>
  <c r="E12" i="2"/>
  <c r="E13" i="2"/>
  <c r="E14" i="2"/>
  <c r="E15" i="2"/>
  <c r="E16" i="2"/>
  <c r="E17" i="2"/>
  <c r="H36" i="1"/>
  <c r="H18" i="1"/>
  <c r="H19" i="1"/>
  <c r="H21" i="1"/>
  <c r="H23" i="1"/>
  <c r="H24" i="1"/>
  <c r="H25" i="1"/>
  <c r="H27" i="1"/>
  <c r="H28" i="1"/>
  <c r="H29" i="1"/>
  <c r="H31" i="1"/>
  <c r="H32" i="1"/>
  <c r="H33" i="1"/>
  <c r="H34" i="1"/>
  <c r="H35" i="1"/>
  <c r="F30" i="1"/>
  <c r="H30" i="1" s="1"/>
  <c r="F26" i="1"/>
  <c r="H26" i="1" s="1"/>
  <c r="F24" i="1"/>
  <c r="F23" i="1"/>
  <c r="F22" i="1"/>
  <c r="H22" i="1" s="1"/>
  <c r="F21" i="1"/>
  <c r="F17" i="1"/>
  <c r="H17" i="1" s="1"/>
  <c r="K11" i="1"/>
  <c r="F20" i="1" s="1"/>
  <c r="H20" i="1" s="1"/>
  <c r="K8" i="1"/>
  <c r="K9" i="1" s="1"/>
  <c r="K10" i="1" s="1"/>
  <c r="K7" i="1"/>
  <c r="K6" i="1"/>
  <c r="I14" i="3" l="1"/>
  <c r="I6" i="3"/>
  <c r="I21" i="3"/>
  <c r="I13" i="3"/>
  <c r="I17" i="3"/>
  <c r="H17" i="3"/>
  <c r="H9" i="3"/>
  <c r="I9" i="3" s="1"/>
  <c r="H24" i="3"/>
  <c r="I24" i="3" s="1"/>
  <c r="H16" i="3"/>
  <c r="I16" i="3" s="1"/>
  <c r="I19" i="3"/>
  <c r="I11" i="3"/>
  <c r="G20" i="3"/>
  <c r="H20" i="3" s="1"/>
  <c r="I20" i="3" s="1"/>
  <c r="G12" i="3"/>
  <c r="H12" i="3" s="1"/>
  <c r="I12" i="3" s="1"/>
  <c r="H23" i="3"/>
  <c r="I23" i="3" s="1"/>
  <c r="I18" i="3"/>
  <c r="I10" i="3"/>
  <c r="H22" i="3"/>
  <c r="I22" i="3" s="1"/>
  <c r="H14" i="3"/>
  <c r="H21" i="3"/>
  <c r="H13" i="3"/>
</calcChain>
</file>

<file path=xl/sharedStrings.xml><?xml version="1.0" encoding="utf-8"?>
<sst xmlns="http://schemas.openxmlformats.org/spreadsheetml/2006/main" count="208" uniqueCount="122">
  <si>
    <t>115 kWp commercial rooftop, Islamabad: inputs and bill of materials</t>
  </si>
  <si>
    <t>Yellow cells are inputs; everything else is a formula. Module and inverter figures from the Jinko and Huawei datasheets; PKR rates are indicative.</t>
  </si>
  <si>
    <t>Inputs</t>
  </si>
  <si>
    <t>Module power (W)</t>
  </si>
  <si>
    <t>Module Voc (V)</t>
  </si>
  <si>
    <t>Voc temperature coefficient (%/C)</t>
  </si>
  <si>
    <t>Lowest temperature on site (C)</t>
  </si>
  <si>
    <t>Modules per string</t>
  </si>
  <si>
    <t>Number of strings</t>
  </si>
  <si>
    <t>Inverter max DC voltage (V)</t>
  </si>
  <si>
    <t>Module width plus gap (m)</t>
  </si>
  <si>
    <t>Design check</t>
  </si>
  <si>
    <t>Total modules</t>
  </si>
  <si>
    <t>DC capacity (kWp)</t>
  </si>
  <si>
    <t>Module Voc on the coldest morning (V)</t>
  </si>
  <si>
    <t>String Voc on the coldest morning (V)</t>
  </si>
  <si>
    <t>Voltage check</t>
  </si>
  <si>
    <t>Row length (m)</t>
  </si>
  <si>
    <t>Bill of materials</t>
  </si>
  <si>
    <t>Line</t>
  </si>
  <si>
    <t>Item</t>
  </si>
  <si>
    <t>Category</t>
  </si>
  <si>
    <t>Unit</t>
  </si>
  <si>
    <t>Qty</t>
  </si>
  <si>
    <t>Unit rate (PKR)</t>
  </si>
  <si>
    <t>Budget (PKR)</t>
  </si>
  <si>
    <t>Supplier</t>
  </si>
  <si>
    <t>Lead time (days)</t>
  </si>
  <si>
    <t>Needed for</t>
  </si>
  <si>
    <t>PV module, Jinko JKM580N-72HL4-V 580 W</t>
  </si>
  <si>
    <t>Modules</t>
  </si>
  <si>
    <t>pcs</t>
  </si>
  <si>
    <t>Module distributor</t>
  </si>
  <si>
    <t>Module installation start</t>
  </si>
  <si>
    <t>Inverter, Huawei SUN2000-100KTL-M2</t>
  </si>
  <si>
    <t>Inverter and monitoring</t>
  </si>
  <si>
    <t>Inverter distributor</t>
  </si>
  <si>
    <t>Electrical installation start</t>
  </si>
  <si>
    <t>Monitoring dongle (4G)</t>
  </si>
  <si>
    <t>Mounting rail, 4.2 m</t>
  </si>
  <si>
    <t>Mounting</t>
  </si>
  <si>
    <t>Mounting supplier</t>
  </si>
  <si>
    <t>Mounting installation start</t>
  </si>
  <si>
    <t>Module clamps (mid and end)</t>
  </si>
  <si>
    <t>Roof attachment (L-foot with fixings)</t>
  </si>
  <si>
    <t>DC solar cable 6 mm2 (red and black)</t>
  </si>
  <si>
    <t>DC electrical</t>
  </si>
  <si>
    <t>m</t>
  </si>
  <si>
    <t>Electrical wholesaler</t>
  </si>
  <si>
    <t>MC4 connector pair</t>
  </si>
  <si>
    <t>pairs</t>
  </si>
  <si>
    <t>Cable tray, galvanised</t>
  </si>
  <si>
    <t>AC cable, 4-core 70 mm2 Cu armoured</t>
  </si>
  <si>
    <t>AC electrical</t>
  </si>
  <si>
    <t>MCCB 4-pole 200 A</t>
  </si>
  <si>
    <t>Surge protection device, Type 2</t>
  </si>
  <si>
    <t>Earthing (2 earth pits and 60 m cable)</t>
  </si>
  <si>
    <t>Earthing</t>
  </si>
  <si>
    <t>lot</t>
  </si>
  <si>
    <t>Installation crew</t>
  </si>
  <si>
    <t>Labour and services</t>
  </si>
  <si>
    <t>crew-days</t>
  </si>
  <si>
    <t>Installation subcontractor</t>
  </si>
  <si>
    <t>Electrical crew</t>
  </si>
  <si>
    <t>Transport and lifting</t>
  </si>
  <si>
    <t>Logistics provider</t>
  </si>
  <si>
    <t>Mobilisation</t>
  </si>
  <si>
    <t>Access and safety equipment</t>
  </si>
  <si>
    <t>In-house</t>
  </si>
  <si>
    <t>Testing and commissioning</t>
  </si>
  <si>
    <t>Net-metering application and meter</t>
  </si>
  <si>
    <t>Approvals</t>
  </si>
  <si>
    <t>DISCO</t>
  </si>
  <si>
    <t>Net-metering energisation</t>
  </si>
  <si>
    <t>Total</t>
  </si>
  <si>
    <t>Total budget</t>
  </si>
  <si>
    <t>Procurement tracker</t>
  </si>
  <si>
    <t>Order by = the date it is needed on site, minus the lead time and a buffer, counting Monday to Saturday as working days.</t>
  </si>
  <si>
    <t>Project dates</t>
  </si>
  <si>
    <t>Contract award date</t>
  </si>
  <si>
    <t>Status date (today in this example)</t>
  </si>
  <si>
    <t>Ordering buffer (days)</t>
  </si>
  <si>
    <t>Programme milestones</t>
  </si>
  <si>
    <t>Milestone</t>
  </si>
  <si>
    <t>Working days after award</t>
  </si>
  <si>
    <t>Date</t>
  </si>
  <si>
    <t>Contract award</t>
  </si>
  <si>
    <t>Purchase orders</t>
  </si>
  <si>
    <t>Required on site</t>
  </si>
  <si>
    <t>Order by</t>
  </si>
  <si>
    <t>PO date</t>
  </si>
  <si>
    <t>Expected delivery</t>
  </si>
  <si>
    <t>Delivered</t>
  </si>
  <si>
    <t>Days in hand</t>
  </si>
  <si>
    <t>Status</t>
  </si>
  <si>
    <t>Cost tracker: budget, committed and forecast</t>
  </si>
  <si>
    <t>Committed = value of purchase orders placed. Forecast = committed if there is a PO, otherwise the budget. Variance = budget minus forecast (negative is over budget).</t>
  </si>
  <si>
    <t>By BOM line</t>
  </si>
  <si>
    <t>Committed (PKR)</t>
  </si>
  <si>
    <t>Forecast (PKR)</t>
  </si>
  <si>
    <t>Variance (PKR)</t>
  </si>
  <si>
    <t>Variance %</t>
  </si>
  <si>
    <t>By category</t>
  </si>
  <si>
    <t>Budget</t>
  </si>
  <si>
    <t>Committed</t>
  </si>
  <si>
    <t>Forecast</t>
  </si>
  <si>
    <t>Variance</t>
  </si>
  <si>
    <t>115 kWp commercial rooftop: project dashboard</t>
  </si>
  <si>
    <t xml:space="preserve">  DC CAPACITY</t>
  </si>
  <si>
    <t xml:space="preserve">  BUDGET</t>
  </si>
  <si>
    <t xml:space="preserve">  FORECAST</t>
  </si>
  <si>
    <t xml:space="preserve">  PROCUREMENT</t>
  </si>
  <si>
    <t>Lines by status</t>
  </si>
  <si>
    <t>Lines</t>
  </si>
  <si>
    <t>On order</t>
  </si>
  <si>
    <t>Order due</t>
  </si>
  <si>
    <t>Not yet due</t>
  </si>
  <si>
    <t>Late delivery</t>
  </si>
  <si>
    <t>Order overdue</t>
  </si>
  <si>
    <t>PivotTable: budget by category (filter with the Supplier slicer)</t>
  </si>
  <si>
    <t>Grand Total</t>
  </si>
  <si>
    <t xml:space="preserve">Budget (PKR)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</si>
</sst>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ddd\ dd\-mmm\-yy"/>
    <numFmt numFmtId="166" formatCode="ddd\ dd\-mmm"/>
    <numFmt numFmtId="167" formatCode="0.0%;[Red]\-0.0%"/>
    <numFmt numFmtId="168" formatCode="0.00&quot; kWp&quot;"/>
    <numFmt numFmtId="169" formatCode="&quot;PKR &quot;#,##0"/>
  </numFmts>
  <fonts count="12" x14ac:knownFonts="1">
    <font>
      <sz val="11"/>
      <color theme="1"/>
      <name val="Aptos Narrow"/>
      <family val="2"/>
      <scheme val="minor"/>
    </font>
    <font>
      <b/>
      <sz val="11"/>
      <color theme="1"/>
      <name val="Aptos Narrow"/>
      <family val="2"/>
      <scheme val="minor"/>
    </font>
    <font>
      <b/>
      <sz val="18"/>
      <color rgb="FF1F3864"/>
      <name val="Aptos Narrow"/>
      <family val="2"/>
      <scheme val="minor"/>
    </font>
    <font>
      <i/>
      <sz val="11"/>
      <color rgb="FF5A626E"/>
      <name val="Aptos Narrow"/>
      <family val="2"/>
      <scheme val="minor"/>
    </font>
    <font>
      <b/>
      <sz val="12"/>
      <color rgb="FF1F3864"/>
      <name val="Aptos Narrow"/>
      <family val="2"/>
      <scheme val="minor"/>
    </font>
    <font>
      <sz val="11"/>
      <color rgb="FF0046AA"/>
      <name val="Aptos Narrow"/>
      <family val="2"/>
      <scheme val="minor"/>
    </font>
    <font>
      <b/>
      <sz val="11"/>
      <color rgb="FF0046AA"/>
      <name val="Aptos Narrow"/>
      <family val="2"/>
      <scheme val="minor"/>
    </font>
    <font>
      <b/>
      <sz val="11"/>
      <color rgb="FFFFFFFF"/>
      <name val="Aptos Narrow"/>
      <family val="2"/>
      <scheme val="minor"/>
    </font>
    <font>
      <b/>
      <sz val="9"/>
      <color rgb="FF5A626E"/>
      <name val="Aptos Narrow"/>
      <family val="2"/>
      <scheme val="minor"/>
    </font>
    <font>
      <b/>
      <sz val="20"/>
      <color rgb="FF1F3864"/>
      <name val="Aptos Narrow"/>
      <family val="2"/>
      <scheme val="minor"/>
    </font>
    <font>
      <sz val="9"/>
      <color rgb="FF5A626E"/>
      <name val="Aptos Narrow"/>
      <family val="2"/>
      <scheme val="minor"/>
    </font>
    <font>
      <b/>
      <sz val="20"/>
      <color rgb="FF9C0006"/>
      <name val="Aptos Narrow"/>
      <family val="2"/>
      <scheme val="minor"/>
    </font>
  </fonts>
  <fills count="5">
    <fill>
      <patternFill patternType="none"/>
    </fill>
    <fill>
      <patternFill patternType="gray125"/>
    </fill>
    <fill>
      <patternFill patternType="solid">
        <fgColor rgb="FFFFF2CC"/>
        <bgColor indexed="64"/>
      </patternFill>
    </fill>
    <fill>
      <patternFill patternType="solid">
        <fgColor rgb="FF1F3864"/>
        <bgColor indexed="64"/>
      </patternFill>
    </fill>
    <fill>
      <patternFill patternType="solid">
        <fgColor rgb="FFF6F8FA"/>
        <bgColor indexed="64"/>
      </patternFill>
    </fill>
  </fills>
  <borders count="12">
    <border>
      <left/>
      <right/>
      <top/>
      <bottom/>
      <diagonal/>
    </border>
    <border>
      <left/>
      <right/>
      <top/>
      <bottom style="thin">
        <color rgb="FF1F3864"/>
      </bottom>
      <diagonal/>
    </border>
    <border>
      <left/>
      <right/>
      <top/>
      <bottom style="thin">
        <color rgb="FFD6DCE4"/>
      </bottom>
      <diagonal/>
    </border>
    <border>
      <left/>
      <right/>
      <top style="thin">
        <color rgb="FFD6DCE4"/>
      </top>
      <bottom style="thin">
        <color rgb="FFD6DCE4"/>
      </bottom>
      <diagonal/>
    </border>
    <border>
      <left/>
      <right/>
      <top style="thin">
        <color rgb="FFD6DCE4"/>
      </top>
      <bottom/>
      <diagonal/>
    </border>
    <border>
      <left/>
      <right/>
      <top style="thin">
        <color rgb="FF1F3864"/>
      </top>
      <bottom/>
      <diagonal/>
    </border>
    <border>
      <left style="thin">
        <color rgb="FFD6DCE4"/>
      </left>
      <right/>
      <top/>
      <bottom/>
      <diagonal/>
    </border>
    <border>
      <left style="thin">
        <color rgb="FFD6DCE4"/>
      </left>
      <right/>
      <top style="thin">
        <color rgb="FFD6DCE4"/>
      </top>
      <bottom/>
      <diagonal/>
    </border>
    <border>
      <left style="thin">
        <color rgb="FFD6DCE4"/>
      </left>
      <right/>
      <top/>
      <bottom style="thin">
        <color rgb="FFD6DCE4"/>
      </bottom>
      <diagonal/>
    </border>
    <border>
      <left/>
      <right style="thin">
        <color rgb="FFD6DCE4"/>
      </right>
      <top style="thin">
        <color rgb="FFD6DCE4"/>
      </top>
      <bottom/>
      <diagonal/>
    </border>
    <border>
      <left/>
      <right style="thin">
        <color rgb="FFD6DCE4"/>
      </right>
      <top/>
      <bottom/>
      <diagonal/>
    </border>
    <border>
      <left/>
      <right style="thin">
        <color rgb="FFD6DCE4"/>
      </right>
      <top/>
      <bottom style="thin">
        <color rgb="FFD6DCE4"/>
      </bottom>
      <diagonal/>
    </border>
  </borders>
  <cellStyleXfs count="1">
    <xf numFmtId="0" fontId="0" fillId="0" borderId="0"/>
  </cellStyleXfs>
  <cellXfs count="50">
    <xf numFmtId="0" fontId="0" fillId="0" borderId="0" xfId="0"/>
    <xf numFmtId="0" fontId="2" fillId="0" borderId="0" xfId="0" applyFont="1"/>
    <xf numFmtId="0" fontId="3" fillId="0" borderId="0" xfId="0" applyFont="1"/>
    <xf numFmtId="0" fontId="1" fillId="0" borderId="0" xfId="0" applyFont="1"/>
    <xf numFmtId="0" fontId="4" fillId="0" borderId="0" xfId="0" applyFont="1"/>
    <xf numFmtId="0" fontId="5" fillId="2" borderId="0" xfId="0" applyFont="1" applyFill="1"/>
    <xf numFmtId="1" fontId="0" fillId="0" borderId="0" xfId="0" applyNumberFormat="1" applyAlignment="1">
      <alignment horizontal="right"/>
    </xf>
    <xf numFmtId="2" fontId="0" fillId="0" borderId="0" xfId="0" applyNumberFormat="1" applyAlignment="1">
      <alignment horizontal="right"/>
    </xf>
    <xf numFmtId="164" fontId="0" fillId="0" borderId="0" xfId="0" applyNumberFormat="1" applyAlignment="1">
      <alignment horizontal="right"/>
    </xf>
    <xf numFmtId="49" fontId="1" fillId="0" borderId="0" xfId="0" applyNumberFormat="1" applyFont="1" applyAlignment="1">
      <alignment horizontal="right"/>
    </xf>
    <xf numFmtId="0" fontId="4" fillId="0" borderId="1" xfId="0" applyFont="1" applyBorder="1"/>
    <xf numFmtId="0" fontId="0" fillId="0" borderId="1" xfId="0" applyBorder="1"/>
    <xf numFmtId="0" fontId="0" fillId="0" borderId="0" xfId="0" applyAlignment="1">
      <alignment vertical="center" wrapText="1"/>
    </xf>
    <xf numFmtId="3" fontId="0" fillId="0" borderId="0" xfId="0" applyNumberFormat="1"/>
    <xf numFmtId="3" fontId="5" fillId="2" borderId="0" xfId="0" applyNumberFormat="1" applyFont="1" applyFill="1"/>
    <xf numFmtId="3" fontId="1" fillId="0" borderId="0" xfId="0" applyNumberFormat="1" applyFont="1" applyFill="1"/>
    <xf numFmtId="3" fontId="6" fillId="0" borderId="0" xfId="0" applyNumberFormat="1" applyFont="1" applyFill="1"/>
    <xf numFmtId="0" fontId="5" fillId="2" borderId="0" xfId="0" applyFont="1" applyFill="1" applyAlignment="1">
      <alignment horizontal="right"/>
    </xf>
    <xf numFmtId="165" fontId="5" fillId="2" borderId="0" xfId="0" applyNumberFormat="1" applyFont="1" applyFill="1" applyAlignment="1">
      <alignment horizontal="right"/>
    </xf>
    <xf numFmtId="165" fontId="0" fillId="0" borderId="0" xfId="0" applyNumberFormat="1"/>
    <xf numFmtId="166" fontId="0" fillId="0" borderId="0" xfId="0" applyNumberFormat="1"/>
    <xf numFmtId="166" fontId="5" fillId="2" borderId="0" xfId="0" applyNumberFormat="1" applyFont="1" applyFill="1"/>
    <xf numFmtId="0" fontId="1" fillId="0" borderId="0" xfId="0" applyFont="1" applyAlignment="1">
      <alignment horizontal="center"/>
    </xf>
    <xf numFmtId="1" fontId="0" fillId="0" borderId="0" xfId="0" applyNumberFormat="1" applyAlignment="1">
      <alignment horizontal="center"/>
    </xf>
    <xf numFmtId="38" fontId="0" fillId="0" borderId="0" xfId="0" applyNumberFormat="1"/>
    <xf numFmtId="167" fontId="0" fillId="0" borderId="0" xfId="0" applyNumberFormat="1"/>
    <xf numFmtId="38" fontId="5" fillId="2" borderId="0" xfId="0" applyNumberFormat="1" applyFont="1" applyFill="1"/>
    <xf numFmtId="38" fontId="1" fillId="0" borderId="0" xfId="0" applyNumberFormat="1" applyFont="1" applyFill="1"/>
    <xf numFmtId="38" fontId="6" fillId="0" borderId="0" xfId="0" applyNumberFormat="1" applyFont="1" applyFill="1"/>
    <xf numFmtId="0" fontId="7" fillId="3" borderId="0" xfId="0" applyFont="1" applyFill="1"/>
    <xf numFmtId="0" fontId="0" fillId="0" borderId="2" xfId="0" applyBorder="1"/>
    <xf numFmtId="38" fontId="0" fillId="0" borderId="2" xfId="0" applyNumberFormat="1" applyBorder="1"/>
    <xf numFmtId="0" fontId="0" fillId="0" borderId="3" xfId="0" applyBorder="1"/>
    <xf numFmtId="38" fontId="0" fillId="0" borderId="3" xfId="0" applyNumberFormat="1" applyBorder="1"/>
    <xf numFmtId="0" fontId="0" fillId="0" borderId="4" xfId="0" applyBorder="1"/>
    <xf numFmtId="38" fontId="0" fillId="0" borderId="4" xfId="0" applyNumberFormat="1" applyBorder="1"/>
    <xf numFmtId="0" fontId="1" fillId="0" borderId="5" xfId="0" applyFont="1" applyBorder="1"/>
    <xf numFmtId="38" fontId="1" fillId="0" borderId="5" xfId="0" applyNumberFormat="1" applyFont="1" applyBorder="1"/>
    <xf numFmtId="0" fontId="0" fillId="4" borderId="4" xfId="0" applyFill="1" applyBorder="1"/>
    <xf numFmtId="0" fontId="0" fillId="4" borderId="9" xfId="0" applyFill="1" applyBorder="1"/>
    <xf numFmtId="0" fontId="8" fillId="4" borderId="7" xfId="0" applyFont="1" applyFill="1" applyBorder="1"/>
    <xf numFmtId="168" fontId="9" fillId="4" borderId="6" xfId="0" applyNumberFormat="1" applyFont="1" applyFill="1" applyBorder="1" applyAlignment="1">
      <alignment horizontal="left" indent="1"/>
    </xf>
    <xf numFmtId="0" fontId="0" fillId="4" borderId="0" xfId="0" applyFill="1" applyBorder="1" applyAlignment="1">
      <alignment horizontal="left" indent="1"/>
    </xf>
    <xf numFmtId="0" fontId="0" fillId="4" borderId="10" xfId="0" applyFill="1" applyBorder="1" applyAlignment="1">
      <alignment horizontal="left" indent="1"/>
    </xf>
    <xf numFmtId="0" fontId="10" fillId="4" borderId="8" xfId="0" applyFont="1" applyFill="1" applyBorder="1" applyAlignment="1">
      <alignment horizontal="left" indent="1"/>
    </xf>
    <xf numFmtId="0" fontId="0" fillId="4" borderId="2" xfId="0" applyFill="1" applyBorder="1" applyAlignment="1">
      <alignment horizontal="left" indent="1"/>
    </xf>
    <xf numFmtId="0" fontId="0" fillId="4" borderId="11" xfId="0" applyFill="1" applyBorder="1" applyAlignment="1">
      <alignment horizontal="left" indent="1"/>
    </xf>
    <xf numFmtId="169" fontId="9" fillId="4" borderId="6" xfId="0" applyNumberFormat="1" applyFont="1" applyFill="1" applyBorder="1" applyAlignment="1">
      <alignment horizontal="left" indent="1"/>
    </xf>
    <xf numFmtId="49" fontId="11" fillId="4" borderId="6" xfId="0" applyNumberFormat="1" applyFont="1" applyFill="1" applyBorder="1" applyAlignment="1">
      <alignment horizontal="left" indent="1"/>
    </xf>
    <xf numFmtId="0" fontId="0" fillId="0" borderId="0" xfId="0" pivotButton="1"/>
  </cellXfs>
  <cellStyles count="1">
    <cellStyle name="Normal" xfId="0" builtinId="0"/>
  </cellStyles>
  <dxfs count="48">
    <dxf>
      <font>
        <b/>
      </font>
      <numFmt numFmtId="6" formatCode="#,##0;[Red]\-#,##0"/>
      <fill>
        <patternFill patternType="none">
          <fgColor indexed="64"/>
        </patternFill>
      </fill>
    </dxf>
    <dxf>
      <font>
        <b/>
      </font>
      <numFmt numFmtId="6" formatCode="#,##0;[Red]\-#,##0"/>
      <fill>
        <patternFill patternType="none">
          <fgColor indexed="64"/>
        </patternFill>
      </fill>
    </dxf>
    <dxf>
      <font>
        <b/>
      </font>
      <numFmt numFmtId="6" formatCode="#,##0;[Red]\-#,##0"/>
      <fill>
        <patternFill patternType="none">
          <fgColor indexed="64"/>
        </patternFill>
      </fill>
    </dxf>
    <dxf>
      <font>
        <b/>
      </font>
      <numFmt numFmtId="6" formatCode="#,##0;[Red]\-#,##0"/>
      <fill>
        <patternFill patternType="none">
          <fgColor indexed="64"/>
        </patternFill>
      </fill>
    </dxf>
    <dxf>
      <font>
        <b/>
        <i val="0"/>
        <strike val="0"/>
        <condense val="0"/>
        <extend val="0"/>
        <outline val="0"/>
        <shadow val="0"/>
        <u val="none"/>
        <vertAlign val="baseline"/>
        <sz val="11"/>
        <color rgb="FF0046AA"/>
        <name val="Aptos Narrow"/>
        <family val="2"/>
        <scheme val="minor"/>
      </font>
      <numFmt numFmtId="6" formatCode="#,##0;[Red]\-#,##0"/>
      <fill>
        <patternFill patternType="none">
          <fgColor indexed="64"/>
          <bgColor rgb="FFFFF2CC"/>
        </patternFill>
      </fill>
    </dxf>
    <dxf>
      <font>
        <b/>
      </font>
      <numFmt numFmtId="6" formatCode="#,##0;[Red]\-#,##0"/>
      <fill>
        <patternFill patternType="none">
          <fgColor indexed="64"/>
        </patternFill>
      </fill>
    </dxf>
    <dxf>
      <font>
        <b/>
      </font>
      <numFmt numFmtId="6" formatCode="#,##0;[Red]\-#,##0"/>
      <fill>
        <patternFill patternType="none">
          <fgColor indexed="64"/>
        </patternFill>
      </fill>
    </dxf>
    <dxf>
      <font>
        <b/>
      </font>
      <numFmt numFmtId="6" formatCode="#,##0;[Red]\-#,##0"/>
      <fill>
        <patternFill patternType="none">
          <fgColor indexed="64"/>
        </patternFill>
      </fill>
    </dxf>
    <dxf>
      <font>
        <b/>
      </font>
      <numFmt numFmtId="6" formatCode="#,##0;[Red]\-#,##0"/>
      <fill>
        <patternFill patternType="none">
          <fgColor indexed="64"/>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46AA"/>
      </font>
      <numFmt numFmtId="6" formatCode="#,##0;[Red]\-#,##0"/>
      <fill>
        <patternFill patternType="solid">
          <fgColor indexed="64"/>
          <bgColor rgb="FFFFF2CC"/>
        </patternFill>
      </fill>
    </dxf>
    <dxf>
      <numFmt numFmtId="6" formatCode="#,##0;[Red]\-#,##0"/>
    </dxf>
    <dxf>
      <numFmt numFmtId="6" formatCode="#,##0;[Red]\-#,##0"/>
    </dxf>
    <dxf>
      <numFmt numFmtId="167" formatCode="0.0%;[Red]\-0.0%"/>
    </dxf>
    <dxf>
      <numFmt numFmtId="6" formatCode="#,##0;[Red]\-#,##0"/>
    </dxf>
    <dxf>
      <alignment horizontal="general" vertical="center" textRotation="0" wrapText="1" indent="0" justifyLastLine="0" shrinkToFit="0" readingOrder="0"/>
    </dxf>
    <dxf>
      <numFmt numFmtId="1" formatCode="0"/>
      <alignment horizontal="center" vertical="bottom" textRotation="0" wrapText="0" indent="0" justifyLastLine="0" shrinkToFit="0" readingOrder="0"/>
    </dxf>
    <dxf>
      <font>
        <b/>
      </font>
      <alignment horizontal="center" vertical="bottom" textRotation="0" wrapText="0" indent="0" justifyLastLine="0" shrinkToFit="0" readingOrder="0"/>
    </dxf>
    <dxf>
      <font>
        <color rgb="FF0046AA"/>
      </font>
      <numFmt numFmtId="166" formatCode="ddd\ dd\-mmm"/>
      <fill>
        <patternFill patternType="solid">
          <fgColor indexed="64"/>
          <bgColor rgb="FFFFF2CC"/>
        </patternFill>
      </fill>
    </dxf>
    <dxf>
      <numFmt numFmtId="166" formatCode="ddd\ dd\-mmm"/>
    </dxf>
    <dxf>
      <font>
        <color rgb="FF0046AA"/>
      </font>
      <numFmt numFmtId="166" formatCode="ddd\ dd\-mmm"/>
      <fill>
        <patternFill patternType="solid">
          <fgColor indexed="64"/>
          <bgColor rgb="FFFFF2CC"/>
        </patternFill>
      </fill>
    </dxf>
    <dxf>
      <numFmt numFmtId="166" formatCode="ddd\ dd\-mmm"/>
    </dxf>
    <dxf>
      <numFmt numFmtId="166" formatCode="ddd\ dd\-mmm"/>
    </dxf>
    <dxf>
      <alignment horizontal="general" vertical="center" textRotation="0" wrapText="1" indent="0" justifyLastLine="0" shrinkToFit="0" readingOrder="0"/>
    </dxf>
    <dxf>
      <font>
        <color rgb="FF0046AA"/>
      </font>
      <fill>
        <patternFill patternType="solid">
          <fgColor indexed="64"/>
          <bgColor rgb="FFFFF2CC"/>
        </patternFill>
      </fill>
    </dxf>
    <dxf>
      <numFmt numFmtId="165" formatCode="ddd\ dd\-mmm\-yy"/>
    </dxf>
    <dxf>
      <alignment horizontal="general" vertical="center" textRotation="0" wrapText="1" indent="0" justifyLastLine="0" shrinkToFit="0" readingOrder="0"/>
    </dxf>
    <dxf>
      <font>
        <b/>
      </font>
      <numFmt numFmtId="3" formatCode="#,##0"/>
      <fill>
        <patternFill patternType="none">
          <fgColor indexed="64"/>
        </patternFill>
      </fill>
    </dxf>
    <dxf>
      <font>
        <b/>
      </font>
      <numFmt numFmtId="3" formatCode="#,##0"/>
      <fill>
        <patternFill patternType="none">
          <fgColor indexed="64"/>
        </patternFill>
      </fill>
    </dxf>
    <dxf>
      <font>
        <b/>
      </font>
      <numFmt numFmtId="3" formatCode="#,##0"/>
      <fill>
        <patternFill patternType="none">
          <fgColor indexed="64"/>
        </patternFill>
      </fill>
    </dxf>
    <dxf>
      <font>
        <b/>
      </font>
      <numFmt numFmtId="3" formatCode="#,##0"/>
      <fill>
        <patternFill patternType="none">
          <fgColor indexed="64"/>
        </patternFill>
      </fill>
    </dxf>
    <dxf>
      <font>
        <b/>
      </font>
      <numFmt numFmtId="3" formatCode="#,##0"/>
      <fill>
        <patternFill patternType="none">
          <fgColor indexed="64"/>
        </patternFill>
      </fill>
    </dxf>
    <dxf>
      <font>
        <b/>
        <i val="0"/>
        <strike val="0"/>
        <condense val="0"/>
        <extend val="0"/>
        <outline val="0"/>
        <shadow val="0"/>
        <u val="none"/>
        <vertAlign val="baseline"/>
        <sz val="11"/>
        <color rgb="FF0046AA"/>
        <name val="Aptos Narrow"/>
        <family val="2"/>
        <scheme val="minor"/>
      </font>
      <numFmt numFmtId="3" formatCode="#,##0"/>
      <fill>
        <patternFill patternType="none">
          <fgColor indexed="64"/>
          <bgColor rgb="FFFFF2CC"/>
        </patternFill>
      </fill>
    </dxf>
    <dxf>
      <font>
        <b/>
      </font>
      <numFmt numFmtId="3" formatCode="#,##0"/>
      <fill>
        <patternFill patternType="none">
          <fgColor indexed="64"/>
        </patternFill>
      </fill>
    </dxf>
    <dxf>
      <font>
        <b/>
      </font>
      <numFmt numFmtId="3" formatCode="#,##0"/>
      <fill>
        <patternFill patternType="none">
          <fgColor indexed="64"/>
        </patternFill>
      </fill>
    </dxf>
    <dxf>
      <font>
        <b/>
      </font>
      <numFmt numFmtId="3" formatCode="#,##0"/>
      <fill>
        <patternFill patternType="none">
          <fgColor indexed="64"/>
        </patternFill>
      </fill>
    </dxf>
    <dxf>
      <font>
        <b/>
      </font>
      <numFmt numFmtId="3" formatCode="#,##0"/>
      <fill>
        <patternFill patternType="none">
          <fgColor indexed="64"/>
        </patternFill>
      </fill>
    </dxf>
    <dxf>
      <font>
        <b/>
      </font>
      <numFmt numFmtId="3" formatCode="#,##0"/>
      <fill>
        <patternFill patternType="none">
          <fgColor indexed="64"/>
        </patternFill>
      </fill>
    </dxf>
    <dxf>
      <font>
        <color rgb="FF0046AA"/>
      </font>
      <numFmt numFmtId="3" formatCode="#,##0"/>
      <fill>
        <patternFill patternType="solid">
          <fgColor indexed="64"/>
          <bgColor rgb="FFFFF2CC"/>
        </patternFill>
      </fill>
    </dxf>
    <dxf>
      <numFmt numFmtId="3" formatCode="#,##0"/>
    </dxf>
    <dxf>
      <numFmt numFmtId="3" formatCode="#,##0"/>
    </dxf>
    <dxf>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E"/>
              <a:t>Budget and forecast by category (PKR)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Cost!$M$5</c:f>
              <c:strCache>
                <c:ptCount val="1"/>
                <c:pt idx="0">
                  <c:v>Budget</c:v>
                </c:pt>
              </c:strCache>
            </c:strRef>
          </c:tx>
          <c:spPr>
            <a:solidFill>
              <a:srgbClr val="A4B4CC"/>
            </a:solidFill>
            <a:ln>
              <a:noFill/>
            </a:ln>
            <a:effectLst/>
          </c:spPr>
          <c:invertIfNegative val="0"/>
          <c:cat>
            <c:strRef>
              <c:f>Cost!$L$6:$L$13</c:f>
              <c:strCache>
                <c:ptCount val="8"/>
                <c:pt idx="0">
                  <c:v>Modules</c:v>
                </c:pt>
                <c:pt idx="1">
                  <c:v>Inverter and monitoring</c:v>
                </c:pt>
                <c:pt idx="2">
                  <c:v>Mounting</c:v>
                </c:pt>
                <c:pt idx="3">
                  <c:v>DC electrical</c:v>
                </c:pt>
                <c:pt idx="4">
                  <c:v>AC electrical</c:v>
                </c:pt>
                <c:pt idx="5">
                  <c:v>Earthing</c:v>
                </c:pt>
                <c:pt idx="6">
                  <c:v>Labour and services</c:v>
                </c:pt>
                <c:pt idx="7">
                  <c:v>Approvals</c:v>
                </c:pt>
              </c:strCache>
            </c:strRef>
          </c:cat>
          <c:val>
            <c:numRef>
              <c:f>Cost!$M$6:$M$13</c:f>
              <c:numCache>
                <c:formatCode>#,##0_);[Red]\(#,##0\)</c:formatCode>
                <c:ptCount val="8"/>
                <c:pt idx="0">
                  <c:v>3100680</c:v>
                </c:pt>
                <c:pt idx="1">
                  <c:v>1492000</c:v>
                </c:pt>
                <c:pt idx="2">
                  <c:v>808060</c:v>
                </c:pt>
                <c:pt idx="3">
                  <c:v>368430</c:v>
                </c:pt>
                <c:pt idx="4">
                  <c:v>393500</c:v>
                </c:pt>
                <c:pt idx="5">
                  <c:v>104000</c:v>
                </c:pt>
                <c:pt idx="6">
                  <c:v>640000</c:v>
                </c:pt>
                <c:pt idx="7">
                  <c:v>200000</c:v>
                </c:pt>
              </c:numCache>
            </c:numRef>
          </c:val>
          <c:extLst>
            <c:ext xmlns:c16="http://schemas.microsoft.com/office/drawing/2014/chart" uri="{C3380CC4-5D6E-409C-BE32-E72D297353CC}">
              <c16:uniqueId val="{00000000-EB8F-4B9E-8857-3EC496BECF24}"/>
            </c:ext>
          </c:extLst>
        </c:ser>
        <c:ser>
          <c:idx val="1"/>
          <c:order val="1"/>
          <c:tx>
            <c:strRef>
              <c:f>Cost!$O$5</c:f>
              <c:strCache>
                <c:ptCount val="1"/>
                <c:pt idx="0">
                  <c:v>Forecast</c:v>
                </c:pt>
              </c:strCache>
            </c:strRef>
          </c:tx>
          <c:spPr>
            <a:solidFill>
              <a:srgbClr val="1F3864"/>
            </a:solidFill>
            <a:ln>
              <a:noFill/>
            </a:ln>
            <a:effectLst/>
          </c:spPr>
          <c:invertIfNegative val="0"/>
          <c:cat>
            <c:strRef>
              <c:f>Cost!$L$6:$L$13</c:f>
              <c:strCache>
                <c:ptCount val="8"/>
                <c:pt idx="0">
                  <c:v>Modules</c:v>
                </c:pt>
                <c:pt idx="1">
                  <c:v>Inverter and monitoring</c:v>
                </c:pt>
                <c:pt idx="2">
                  <c:v>Mounting</c:v>
                </c:pt>
                <c:pt idx="3">
                  <c:v>DC electrical</c:v>
                </c:pt>
                <c:pt idx="4">
                  <c:v>AC electrical</c:v>
                </c:pt>
                <c:pt idx="5">
                  <c:v>Earthing</c:v>
                </c:pt>
                <c:pt idx="6">
                  <c:v>Labour and services</c:v>
                </c:pt>
                <c:pt idx="7">
                  <c:v>Approvals</c:v>
                </c:pt>
              </c:strCache>
            </c:strRef>
          </c:cat>
          <c:val>
            <c:numRef>
              <c:f>Cost!$O$6:$O$13</c:f>
              <c:numCache>
                <c:formatCode>#,##0_);[Red]\(#,##0\)</c:formatCode>
                <c:ptCount val="8"/>
                <c:pt idx="0">
                  <c:v>3100680</c:v>
                </c:pt>
                <c:pt idx="1">
                  <c:v>1492000</c:v>
                </c:pt>
                <c:pt idx="2">
                  <c:v>856600</c:v>
                </c:pt>
                <c:pt idx="3">
                  <c:v>368430</c:v>
                </c:pt>
                <c:pt idx="4">
                  <c:v>382300</c:v>
                </c:pt>
                <c:pt idx="5">
                  <c:v>104000</c:v>
                </c:pt>
                <c:pt idx="6">
                  <c:v>640000</c:v>
                </c:pt>
                <c:pt idx="7">
                  <c:v>200000</c:v>
                </c:pt>
              </c:numCache>
            </c:numRef>
          </c:val>
          <c:extLst>
            <c:ext xmlns:c16="http://schemas.microsoft.com/office/drawing/2014/chart" uri="{C3380CC4-5D6E-409C-BE32-E72D297353CC}">
              <c16:uniqueId val="{00000001-EB8F-4B9E-8857-3EC496BECF24}"/>
            </c:ext>
          </c:extLst>
        </c:ser>
        <c:dLbls>
          <c:showLegendKey val="0"/>
          <c:showVal val="0"/>
          <c:showCatName val="0"/>
          <c:showSerName val="0"/>
          <c:showPercent val="0"/>
          <c:showBubbleSize val="0"/>
        </c:dLbls>
        <c:gapWidth val="182"/>
        <c:axId val="892334240"/>
        <c:axId val="823634608"/>
      </c:barChart>
      <c:catAx>
        <c:axId val="89233424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3634608"/>
        <c:crosses val="autoZero"/>
        <c:auto val="1"/>
        <c:lblAlgn val="ctr"/>
        <c:lblOffset val="100"/>
        <c:noMultiLvlLbl val="0"/>
      </c:catAx>
      <c:valAx>
        <c:axId val="823634608"/>
        <c:scaling>
          <c:orientation val="minMax"/>
        </c:scaling>
        <c:delete val="0"/>
        <c:axPos val="t"/>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23342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E"/>
              <a:t>BOM lines by procurement status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Dashboard!$P$10</c:f>
              <c:strCache>
                <c:ptCount val="1"/>
                <c:pt idx="0">
                  <c:v>Lines</c:v>
                </c:pt>
              </c:strCache>
            </c:strRef>
          </c:tx>
          <c:spPr>
            <a:solidFill>
              <a:srgbClr val="1F3864"/>
            </a:solidFill>
            <a:ln>
              <a:noFill/>
            </a:ln>
            <a:effectLst/>
          </c:spPr>
          <c:invertIfNegative val="0"/>
          <c:dPt>
            <c:idx val="2"/>
            <c:invertIfNegative val="0"/>
            <c:bubble3D val="0"/>
            <c:spPr>
              <a:solidFill>
                <a:srgbClr val="E6A000"/>
              </a:solidFill>
              <a:ln>
                <a:noFill/>
              </a:ln>
              <a:effectLst/>
            </c:spPr>
            <c:extLst>
              <c:ext xmlns:c16="http://schemas.microsoft.com/office/drawing/2014/chart" uri="{C3380CC4-5D6E-409C-BE32-E72D297353CC}">
                <c16:uniqueId val="{00000003-135E-4741-95BF-21B7A8A7FC2C}"/>
              </c:ext>
            </c:extLst>
          </c:dPt>
          <c:dPt>
            <c:idx val="4"/>
            <c:invertIfNegative val="0"/>
            <c:bubble3D val="0"/>
            <c:spPr>
              <a:solidFill>
                <a:srgbClr val="C00000"/>
              </a:solidFill>
              <a:ln>
                <a:noFill/>
              </a:ln>
              <a:effectLst/>
            </c:spPr>
            <c:extLst>
              <c:ext xmlns:c16="http://schemas.microsoft.com/office/drawing/2014/chart" uri="{C3380CC4-5D6E-409C-BE32-E72D297353CC}">
                <c16:uniqueId val="{00000001-135E-4741-95BF-21B7A8A7FC2C}"/>
              </c:ext>
            </c:extLst>
          </c:dPt>
          <c:dPt>
            <c:idx val="5"/>
            <c:invertIfNegative val="0"/>
            <c:bubble3D val="0"/>
            <c:spPr>
              <a:solidFill>
                <a:srgbClr val="C00000"/>
              </a:solidFill>
              <a:ln>
                <a:noFill/>
              </a:ln>
              <a:effectLst/>
            </c:spPr>
            <c:extLst>
              <c:ext xmlns:c16="http://schemas.microsoft.com/office/drawing/2014/chart" uri="{C3380CC4-5D6E-409C-BE32-E72D297353CC}">
                <c16:uniqueId val="{00000002-135E-4741-95BF-21B7A8A7FC2C}"/>
              </c:ext>
            </c:extLst>
          </c:dPt>
          <c:cat>
            <c:strRef>
              <c:f>Dashboard!$O$11:$O$16</c:f>
              <c:strCache>
                <c:ptCount val="6"/>
                <c:pt idx="0">
                  <c:v>Delivered</c:v>
                </c:pt>
                <c:pt idx="1">
                  <c:v>On order</c:v>
                </c:pt>
                <c:pt idx="2">
                  <c:v>Order due</c:v>
                </c:pt>
                <c:pt idx="3">
                  <c:v>Not yet due</c:v>
                </c:pt>
                <c:pt idx="4">
                  <c:v>Late delivery</c:v>
                </c:pt>
                <c:pt idx="5">
                  <c:v>Order overdue</c:v>
                </c:pt>
              </c:strCache>
            </c:strRef>
          </c:cat>
          <c:val>
            <c:numRef>
              <c:f>Dashboard!$P$11:$P$16</c:f>
              <c:numCache>
                <c:formatCode>General</c:formatCode>
                <c:ptCount val="6"/>
                <c:pt idx="0">
                  <c:v>5</c:v>
                </c:pt>
                <c:pt idx="1">
                  <c:v>6</c:v>
                </c:pt>
                <c:pt idx="2">
                  <c:v>4</c:v>
                </c:pt>
                <c:pt idx="3">
                  <c:v>1</c:v>
                </c:pt>
                <c:pt idx="4">
                  <c:v>2</c:v>
                </c:pt>
                <c:pt idx="5">
                  <c:v>1</c:v>
                </c:pt>
              </c:numCache>
            </c:numRef>
          </c:val>
          <c:extLst>
            <c:ext xmlns:c16="http://schemas.microsoft.com/office/drawing/2014/chart" uri="{C3380CC4-5D6E-409C-BE32-E72D297353CC}">
              <c16:uniqueId val="{00000000-135E-4741-95BF-21B7A8A7FC2C}"/>
            </c:ext>
          </c:extLst>
        </c:ser>
        <c:dLbls>
          <c:showLegendKey val="0"/>
          <c:showVal val="0"/>
          <c:showCatName val="0"/>
          <c:showSerName val="0"/>
          <c:showPercent val="0"/>
          <c:showBubbleSize val="0"/>
        </c:dLbls>
        <c:gapWidth val="219"/>
        <c:overlap val="-27"/>
        <c:axId val="482977760"/>
        <c:axId val="823660048"/>
      </c:barChart>
      <c:catAx>
        <c:axId val="4829777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3660048"/>
        <c:crosses val="autoZero"/>
        <c:auto val="1"/>
        <c:lblAlgn val="ctr"/>
        <c:lblOffset val="100"/>
        <c:noMultiLvlLbl val="0"/>
      </c:catAx>
      <c:valAx>
        <c:axId val="8236600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297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0</xdr:colOff>
      <xdr:row>8</xdr:row>
      <xdr:rowOff>0</xdr:rowOff>
    </xdr:from>
    <xdr:to>
      <xdr:col>6</xdr:col>
      <xdr:colOff>774700</xdr:colOff>
      <xdr:row>22</xdr:row>
      <xdr:rowOff>27940</xdr:rowOff>
    </xdr:to>
    <xdr:graphicFrame macro="">
      <xdr:nvGraphicFramePr>
        <xdr:cNvPr id="2" name="Chart 1">
          <a:extLst>
            <a:ext uri="{FF2B5EF4-FFF2-40B4-BE49-F238E27FC236}">
              <a16:creationId xmlns:a16="http://schemas.microsoft.com/office/drawing/2014/main" id="{96BE17FD-0EBA-693F-410E-9C7E425268D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8</xdr:row>
      <xdr:rowOff>0</xdr:rowOff>
    </xdr:from>
    <xdr:to>
      <xdr:col>12</xdr:col>
      <xdr:colOff>774700</xdr:colOff>
      <xdr:row>22</xdr:row>
      <xdr:rowOff>27940</xdr:rowOff>
    </xdr:to>
    <xdr:graphicFrame macro="">
      <xdr:nvGraphicFramePr>
        <xdr:cNvPr id="3" name="Chart 2">
          <a:extLst>
            <a:ext uri="{FF2B5EF4-FFF2-40B4-BE49-F238E27FC236}">
              <a16:creationId xmlns:a16="http://schemas.microsoft.com/office/drawing/2014/main" id="{61E50CB2-ECB3-5920-363E-081CBD25B2C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5</xdr:col>
      <xdr:colOff>0</xdr:colOff>
      <xdr:row>24</xdr:row>
      <xdr:rowOff>0</xdr:rowOff>
    </xdr:from>
    <xdr:to>
      <xdr:col>9</xdr:col>
      <xdr:colOff>812800</xdr:colOff>
      <xdr:row>34</xdr:row>
      <xdr:rowOff>76200</xdr:rowOff>
    </xdr:to>
    <mc:AlternateContent xmlns:mc="http://schemas.openxmlformats.org/markup-compatibility/2006">
      <mc:Choice xmlns:a14="http://schemas.microsoft.com/office/drawing/2010/main" Requires="a14">
        <xdr:graphicFrame macro="">
          <xdr:nvGraphicFramePr>
            <xdr:cNvPr id="4" name="slSupplier">
              <a:extLst>
                <a:ext uri="{FF2B5EF4-FFF2-40B4-BE49-F238E27FC236}">
                  <a16:creationId xmlns:a16="http://schemas.microsoft.com/office/drawing/2014/main" id="{2B86CBFC-21C2-2730-9330-751C55F70024}"/>
                </a:ext>
              </a:extLst>
            </xdr:cNvPr>
            <xdr:cNvGraphicFramePr/>
          </xdr:nvGraphicFramePr>
          <xdr:xfrm>
            <a:off x="0" y="0"/>
            <a:ext cx="0" cy="0"/>
          </xdr:xfrm>
          <a:graphic>
            <a:graphicData uri="http://schemas.microsoft.com/office/drawing/2010/slicer">
              <sle:slicer xmlns:sle="http://schemas.microsoft.com/office/drawing/2010/slicer" name="slSupplier"/>
            </a:graphicData>
          </a:graphic>
        </xdr:graphicFrame>
      </mc:Choice>
      <mc:Fallback>
        <xdr:sp macro="" textlink="">
          <xdr:nvSpPr>
            <xdr:cNvPr id="0" name=""/>
            <xdr:cNvSpPr>
              <a:spLocks noTextEdit="1"/>
            </xdr:cNvSpPr>
          </xdr:nvSpPr>
          <xdr:spPr>
            <a:xfrm>
              <a:off x="4085167" y="4794250"/>
              <a:ext cx="4326466" cy="1875367"/>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ama Javed" refreshedDate="46287.035171990741" createdVersion="8" refreshedVersion="8" minRefreshableVersion="3" recordCount="19" xr:uid="{C368611B-D46E-4FC1-988B-2039A9BD3851}">
  <cacheSource type="worksheet">
    <worksheetSource name="tblBOM"/>
  </cacheSource>
  <cacheFields count="10">
    <cacheField name="Line" numFmtId="0">
      <sharedItems containsSemiMixedTypes="0" containsString="0" containsNumber="1" containsInteger="1" minValue="1" maxValue="19"/>
    </cacheField>
    <cacheField name="Item" numFmtId="0">
      <sharedItems/>
    </cacheField>
    <cacheField name="Category" numFmtId="0">
      <sharedItems count="8">
        <s v="Modules"/>
        <s v="Inverter and monitoring"/>
        <s v="Mounting"/>
        <s v="DC electrical"/>
        <s v="AC electrical"/>
        <s v="Earthing"/>
        <s v="Labour and services"/>
        <s v="Approvals"/>
      </sharedItems>
    </cacheField>
    <cacheField name="Unit" numFmtId="0">
      <sharedItems/>
    </cacheField>
    <cacheField name="Qty" numFmtId="3">
      <sharedItems containsSemiMixedTypes="0" containsString="0" containsNumber="1" containsInteger="1" minValue="1" maxValue="968"/>
    </cacheField>
    <cacheField name="Unit rate (PKR)" numFmtId="3">
      <sharedItems containsSemiMixedTypes="0" containsString="0" containsNumber="1" containsInteger="1" minValue="220" maxValue="1450000"/>
    </cacheField>
    <cacheField name="Budget (PKR)" numFmtId="3">
      <sharedItems containsSemiMixedTypes="0" containsString="0" containsNumber="1" containsInteger="1" minValue="8750" maxValue="3100680"/>
    </cacheField>
    <cacheField name="Supplier" numFmtId="0">
      <sharedItems count="8">
        <s v="Module distributor"/>
        <s v="Inverter distributor"/>
        <s v="Mounting supplier"/>
        <s v="Electrical wholesaler"/>
        <s v="Installation subcontractor"/>
        <s v="Logistics provider"/>
        <s v="In-house"/>
        <s v="DISCO"/>
      </sharedItems>
    </cacheField>
    <cacheField name="Lead time (days)" numFmtId="0">
      <sharedItems containsSemiMixedTypes="0" containsString="0" containsNumber="1" containsInteger="1" minValue="3" maxValue="35"/>
    </cacheField>
    <cacheField name="Needed for" numFmtId="0">
      <sharedItems/>
    </cacheField>
  </cacheFields>
  <extLst>
    <ext xmlns:x14="http://schemas.microsoft.com/office/spreadsheetml/2009/9/main" uri="{725AE2AE-9491-48be-B2B4-4EB974FC3084}">
      <x14:pivotCacheDefinition pivotCacheId="1497313498"/>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9">
  <r>
    <n v="1"/>
    <s v="PV module, Jinko JKM580N-72HL4-V 580 W"/>
    <x v="0"/>
    <s v="pcs"/>
    <n v="198"/>
    <n v="15660"/>
    <n v="3100680"/>
    <x v="0"/>
    <n v="8"/>
    <s v="Module installation start"/>
  </r>
  <r>
    <n v="2"/>
    <s v="Inverter, Huawei SUN2000-100KTL-M2"/>
    <x v="1"/>
    <s v="pcs"/>
    <n v="1"/>
    <n v="1450000"/>
    <n v="1450000"/>
    <x v="1"/>
    <n v="12"/>
    <s v="Electrical installation start"/>
  </r>
  <r>
    <n v="3"/>
    <s v="Monitoring dongle (4G)"/>
    <x v="1"/>
    <s v="pcs"/>
    <n v="1"/>
    <n v="42000"/>
    <n v="42000"/>
    <x v="1"/>
    <n v="12"/>
    <s v="Electrical installation start"/>
  </r>
  <r>
    <n v="4"/>
    <s v="Mounting rail, 4.2 m"/>
    <x v="2"/>
    <s v="pcs"/>
    <n v="110"/>
    <n v="4800"/>
    <n v="528000"/>
    <x v="2"/>
    <n v="7"/>
    <s v="Mounting installation start"/>
  </r>
  <r>
    <n v="5"/>
    <s v="Module clamps (mid and end)"/>
    <x v="2"/>
    <s v="pcs"/>
    <n v="418"/>
    <n v="220"/>
    <n v="91960"/>
    <x v="2"/>
    <n v="7"/>
    <s v="Mounting installation start"/>
  </r>
  <r>
    <n v="6"/>
    <s v="Roof attachment (L-foot with fixings)"/>
    <x v="2"/>
    <s v="pcs"/>
    <n v="418"/>
    <n v="450"/>
    <n v="188100"/>
    <x v="2"/>
    <n v="7"/>
    <s v="Mounting installation start"/>
  </r>
  <r>
    <n v="7"/>
    <s v="DC solar cable 6 mm2 (red and black)"/>
    <x v="3"/>
    <s v="m"/>
    <n v="968"/>
    <n v="260"/>
    <n v="251680"/>
    <x v="3"/>
    <n v="4"/>
    <s v="Module installation start"/>
  </r>
  <r>
    <n v="8"/>
    <s v="MC4 connector pair"/>
    <x v="3"/>
    <s v="pairs"/>
    <n v="25"/>
    <n v="350"/>
    <n v="8750"/>
    <x v="3"/>
    <n v="4"/>
    <s v="Module installation start"/>
  </r>
  <r>
    <n v="9"/>
    <s v="Cable tray, galvanised"/>
    <x v="3"/>
    <s v="m"/>
    <n v="60"/>
    <n v="1800"/>
    <n v="108000"/>
    <x v="3"/>
    <n v="5"/>
    <s v="Electrical installation start"/>
  </r>
  <r>
    <n v="10"/>
    <s v="AC cable, 4-core 70 mm2 Cu armoured"/>
    <x v="4"/>
    <s v="m"/>
    <n v="33"/>
    <n v="8500"/>
    <n v="280500"/>
    <x v="3"/>
    <n v="6"/>
    <s v="Electrical installation start"/>
  </r>
  <r>
    <n v="11"/>
    <s v="MCCB 4-pole 200 A"/>
    <x v="4"/>
    <s v="pcs"/>
    <n v="1"/>
    <n v="85000"/>
    <n v="85000"/>
    <x v="3"/>
    <n v="7"/>
    <s v="Electrical installation start"/>
  </r>
  <r>
    <n v="12"/>
    <s v="Surge protection device, Type 2"/>
    <x v="4"/>
    <s v="pcs"/>
    <n v="1"/>
    <n v="28000"/>
    <n v="28000"/>
    <x v="3"/>
    <n v="7"/>
    <s v="Electrical installation start"/>
  </r>
  <r>
    <n v="13"/>
    <s v="Earthing (2 earth pits and 60 m cable)"/>
    <x v="5"/>
    <s v="lot"/>
    <n v="1"/>
    <n v="104000"/>
    <n v="104000"/>
    <x v="3"/>
    <n v="3"/>
    <s v="Mounting installation start"/>
  </r>
  <r>
    <n v="14"/>
    <s v="Installation crew"/>
    <x v="6"/>
    <s v="crew-days"/>
    <n v="5"/>
    <n v="30000"/>
    <n v="150000"/>
    <x v="4"/>
    <n v="5"/>
    <s v="Mounting installation start"/>
  </r>
  <r>
    <n v="15"/>
    <s v="Electrical crew"/>
    <x v="6"/>
    <s v="crew-days"/>
    <n v="4"/>
    <n v="35000"/>
    <n v="140000"/>
    <x v="4"/>
    <n v="5"/>
    <s v="Electrical installation start"/>
  </r>
  <r>
    <n v="16"/>
    <s v="Transport and lifting"/>
    <x v="6"/>
    <s v="lot"/>
    <n v="1"/>
    <n v="150000"/>
    <n v="150000"/>
    <x v="5"/>
    <n v="3"/>
    <s v="Mobilisation"/>
  </r>
  <r>
    <n v="17"/>
    <s v="Access and safety equipment"/>
    <x v="6"/>
    <s v="lot"/>
    <n v="1"/>
    <n v="80000"/>
    <n v="80000"/>
    <x v="6"/>
    <n v="5"/>
    <s v="Mobilisation"/>
  </r>
  <r>
    <n v="18"/>
    <s v="Testing and commissioning"/>
    <x v="6"/>
    <s v="lot"/>
    <n v="1"/>
    <n v="120000"/>
    <n v="120000"/>
    <x v="6"/>
    <n v="5"/>
    <s v="Testing and commissioning"/>
  </r>
  <r>
    <n v="19"/>
    <s v="Net-metering application and meter"/>
    <x v="7"/>
    <s v="lot"/>
    <n v="1"/>
    <n v="200000"/>
    <n v="200000"/>
    <x v="7"/>
    <n v="35"/>
    <s v="Net-metering energisation"/>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5FA8CA1C-F517-49B9-89D3-54B07A17F0D0}" name="ptBudget" cacheId="4"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B25:C34" firstHeaderRow="1" firstDataRow="1" firstDataCol="1"/>
  <pivotFields count="10">
    <pivotField compact="0" outline="0" showAll="0"/>
    <pivotField compact="0" outline="0" showAll="0"/>
    <pivotField axis="axisRow" compact="0" outline="0" showAll="0" sortType="descending">
      <items count="9">
        <item x="4"/>
        <item x="7"/>
        <item x="3"/>
        <item x="5"/>
        <item x="1"/>
        <item x="6"/>
        <item x="0"/>
        <item x="2"/>
        <item t="default"/>
      </items>
      <autoSortScope>
        <pivotArea dataOnly="0" outline="0" fieldPosition="0">
          <references count="1">
            <reference field="4294967294" count="1" selected="0">
              <x v="0"/>
            </reference>
          </references>
        </pivotArea>
      </autoSortScope>
    </pivotField>
    <pivotField compact="0" outline="0" showAll="0"/>
    <pivotField compact="0" numFmtId="3" outline="0" showAll="0"/>
    <pivotField compact="0" numFmtId="3" outline="0" showAll="0"/>
    <pivotField dataField="1" compact="0" numFmtId="3" outline="0" showAll="0"/>
    <pivotField compact="0" outline="0" showAll="0">
      <items count="9">
        <item x="7"/>
        <item x="3"/>
        <item x="6"/>
        <item x="4"/>
        <item x="1"/>
        <item x="5"/>
        <item x="0"/>
        <item x="2"/>
        <item t="default"/>
      </items>
    </pivotField>
    <pivotField compact="0" outline="0" showAll="0"/>
    <pivotField compact="0" outline="0" showAll="0"/>
  </pivotFields>
  <rowFields count="1">
    <field x="2"/>
  </rowFields>
  <rowItems count="9">
    <i>
      <x v="6"/>
    </i>
    <i>
      <x v="4"/>
    </i>
    <i>
      <x v="7"/>
    </i>
    <i>
      <x v="5"/>
    </i>
    <i>
      <x/>
    </i>
    <i>
      <x v="2"/>
    </i>
    <i>
      <x v="1"/>
    </i>
    <i>
      <x v="3"/>
    </i>
    <i t="grand">
      <x/>
    </i>
  </rowItems>
  <colItems count="1">
    <i/>
  </colItems>
  <dataFields count="1">
    <dataField name="Budget (PKR) " fld="6" baseField="0" baseItem="0" numFmtId="3"/>
  </dataField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upplier" xr10:uid="{7BEAE554-F226-4DB3-961F-C644A94A04F6}" sourceName="Supplier">
  <pivotTables>
    <pivotTable tabId="4" name="ptBudget"/>
  </pivotTables>
  <data>
    <tabular pivotCacheId="1497313498">
      <items count="8">
        <i x="7" s="1"/>
        <i x="3" s="1"/>
        <i x="6" s="1"/>
        <i x="4" s="1"/>
        <i x="1" s="1"/>
        <i x="5" s="1"/>
        <i x="0" s="1"/>
        <i x="2"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lSupplier" xr10:uid="{A44A2D07-FA35-4467-B942-FCC7480DD78F}" cache="Slicer_Supplier" caption="Supplier" columnCount="2" rowHeight="2476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74A265E-C0E6-4472-913C-618F653DE2CE}" name="tblBOM" displayName="tblBOM" ref="B16:K36" totalsRowCount="1" headerRowDxfId="47" totalsRowDxfId="33">
  <autoFilter ref="B16:K35" xr:uid="{574A265E-C0E6-4472-913C-618F653DE2C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83549393-512C-43B1-A06E-E4B2E92F4E48}" name="Line" totalsRowDxfId="43"/>
    <tableColumn id="2" xr3:uid="{89AC229D-37A1-40B9-B018-EBFC230E5D64}" name="Item" totalsRowLabel="Total budget" totalsRowDxfId="42"/>
    <tableColumn id="3" xr3:uid="{03A69C20-6AE7-432E-9C1B-C0D8915748D7}" name="Category" totalsRowDxfId="41"/>
    <tableColumn id="4" xr3:uid="{CBFAFF23-7C00-45F7-85A1-1B7D30BE82C7}" name="Unit" totalsRowDxfId="40"/>
    <tableColumn id="5" xr3:uid="{D51B5D29-EE5F-49C1-8985-A17FCD58E2B7}" name="Qty" dataDxfId="46" totalsRowDxfId="39"/>
    <tableColumn id="6" xr3:uid="{2E95FE18-A671-429B-B3F2-6DBA99BEC5B8}" name="Unit rate (PKR)" dataDxfId="44" totalsRowDxfId="38"/>
    <tableColumn id="7" xr3:uid="{E3EC4CE3-E6E5-4C94-B7F8-CC3AC4D13D2A}" name="Budget (PKR)" totalsRowFunction="sum" dataDxfId="45" totalsRowDxfId="37">
      <calculatedColumnFormula>tblBOM[[#This Row],[Qty]]*tblBOM[[#This Row],[Unit rate (PKR)]]</calculatedColumnFormula>
    </tableColumn>
    <tableColumn id="8" xr3:uid="{48975CD7-7BCA-4822-B2E6-055D805A5ED8}" name="Supplier" totalsRowDxfId="36"/>
    <tableColumn id="9" xr3:uid="{2F938EEF-2303-4FA7-A8E8-4CCD597E6224}" name="Lead time (days)" totalsRowDxfId="35"/>
    <tableColumn id="10" xr3:uid="{41E4B853-98C7-4488-A5BF-32F058986A8D}" name="Needed for" totalsRowDxfId="3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87FF40C-E4D0-4DA4-A2F0-A641B0B84859}" name="tblMilestones" displayName="tblMilestones" ref="C10:E17" totalsRowShown="0" headerRowDxfId="32">
  <autoFilter ref="C10:E17" xr:uid="{F87FF40C-E4D0-4DA4-A2F0-A641B0B84859}">
    <filterColumn colId="0" hiddenButton="1"/>
    <filterColumn colId="1" hiddenButton="1"/>
    <filterColumn colId="2" hiddenButton="1"/>
  </autoFilter>
  <tableColumns count="3">
    <tableColumn id="1" xr3:uid="{C978BC7F-F3DE-4A53-B3D2-B08813519EC5}" name="Milestone"/>
    <tableColumn id="2" xr3:uid="{112A4918-9054-441D-93B6-EB6A6AA30F0D}" name="Working days after award" dataDxfId="30"/>
    <tableColumn id="3" xr3:uid="{0B02D114-1A08-4F47-B9FC-C75964520084}" name="Date" dataDxfId="31">
      <calculatedColumnFormula>WORKDAY.INTL($D$5,tblMilestones[[#This Row],[Working days after award]],11)</calculatedColumnFormula>
    </tableColumn>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6DE0177-C623-4D5F-AA8D-C91E92E237CC}" name="tblProc" displayName="tblProc" ref="B20:L39" totalsRowShown="0" headerRowDxfId="29">
  <autoFilter ref="B20:L39" xr:uid="{26DE0177-C623-4D5F-AA8D-C91E92E237C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95D748B5-0306-4F7E-B643-AA2E7CDA32FC}" name="Line"/>
    <tableColumn id="2" xr3:uid="{6053E07A-5786-4EF5-8496-2FC3FC0BCD7A}" name="Item">
      <calculatedColumnFormula>_xlfn.XLOOKUP(tblProc[[#This Row],[Line]],tblBOM[Line],tblBOM[Item])</calculatedColumnFormula>
    </tableColumn>
    <tableColumn id="3" xr3:uid="{9B58D8A0-035E-4AA9-9333-343F162EC4CF}" name="Needed for">
      <calculatedColumnFormula>_xlfn.XLOOKUP(tblProc[[#This Row],[Line]],tblBOM[Line],tblBOM[Needed for])</calculatedColumnFormula>
    </tableColumn>
    <tableColumn id="4" xr3:uid="{CF64A2FD-AFBF-44FB-A226-4143EBC37240}" name="Required on site" dataDxfId="28">
      <calculatedColumnFormula>_xlfn.XLOOKUP(tblProc[[#This Row],[Needed for]],tblMilestones[Milestone],tblMilestones[Date])</calculatedColumnFormula>
    </tableColumn>
    <tableColumn id="5" xr3:uid="{F6829BAA-6137-4202-8A80-D0B84B22456E}" name="Lead time (days)">
      <calculatedColumnFormula>_xlfn.XLOOKUP(tblProc[[#This Row],[Line]],tblBOM[Line],tblBOM[Lead time (days)])</calculatedColumnFormula>
    </tableColumn>
    <tableColumn id="6" xr3:uid="{A49906EC-A326-4EBC-9B2E-19BEFB872857}" name="Order by" dataDxfId="27">
      <calculatedColumnFormula>WORKDAY.INTL(tblProc[[#This Row],[Required on site]],-(tblProc[[#This Row],[Lead time (days)]]+$D$7),11)</calculatedColumnFormula>
    </tableColumn>
    <tableColumn id="7" xr3:uid="{A275D61F-EEF8-48F4-973D-0E8FE3386B08}" name="PO date" dataDxfId="26"/>
    <tableColumn id="8" xr3:uid="{A6A6BA1B-FF49-4337-8DB9-06DBD64630E6}" name="Expected delivery" dataDxfId="25">
      <calculatedColumnFormula>IF(tblProc[[#This Row],[PO date]]="","",WORKDAY.INTL(tblProc[[#This Row],[PO date]],tblProc[[#This Row],[Lead time (days)]],11))</calculatedColumnFormula>
    </tableColumn>
    <tableColumn id="9" xr3:uid="{7FDF566E-2EE1-4271-9924-77643E5E0017}" name="Delivered" dataDxfId="24"/>
    <tableColumn id="10" xr3:uid="{E34A888E-B8FC-4722-9C84-7BA34F369B06}" name="Days in hand" dataDxfId="22">
      <calculatedColumnFormula>IF(tblProc[[#This Row],[PO date]]="",tblProc[[#This Row],[Order by]]-$D$6,tblProc[[#This Row],[Required on site]]-tblProc[[#This Row],[Expected delivery]])</calculatedColumnFormula>
    </tableColumn>
    <tableColumn id="11" xr3:uid="{F55227D2-BF43-4D6C-8211-32B337681DE6}" name="Status" dataDxfId="23">
      <calculatedColumnFormula>IF(tblProc[[#This Row],[Delivered]]&lt;&gt;"","Delivered",IF(tblProc[[#This Row],[PO date]]="",IF($D$6&gt;tblProc[[#This Row],[Order by]],"Order overdue",IF(tblProc[[#This Row],[Order by]]-$D$6&lt;=3,"Order due","Not yet due")),IF(tblProc[[#This Row],[Expected delivery]]&gt;tblProc[[#This Row],[Required on site]],"Late delivery","On order")))</calculatedColumnFormula>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1CE74C1-0511-422A-BCA4-137024C055A1}" name="tblCost" displayName="tblCost" ref="B5:I25" totalsRowCount="1" headerRowDxfId="21" totalsRowDxfId="0">
  <autoFilter ref="B5:I24" xr:uid="{E1CE74C1-0511-422A-BCA4-137024C055A1}">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836A4E3C-8E84-4865-BE54-EAE8EC710552}" name="Line" totalsRowDxfId="8"/>
    <tableColumn id="2" xr3:uid="{CF06B6A0-8379-44F4-8A2A-07BAC666BF09}" name="Item" totalsRowLabel="Total" totalsRowDxfId="7">
      <calculatedColumnFormula>_xlfn.XLOOKUP(tblCost[[#This Row],[Line]],tblBOM[Line],tblBOM[Item])</calculatedColumnFormula>
    </tableColumn>
    <tableColumn id="3" xr3:uid="{7CFE0824-65BD-4D99-BE03-B60EAAA9DD03}" name="Category" totalsRowDxfId="6">
      <calculatedColumnFormula>_xlfn.XLOOKUP(tblCost[[#This Row],[Line]],tblBOM[Line],tblBOM[Category])</calculatedColumnFormula>
    </tableColumn>
    <tableColumn id="4" xr3:uid="{F3B6E87A-4CF3-4830-BD26-56804428760B}" name="Budget (PKR)" totalsRowFunction="sum" dataDxfId="18" totalsRowDxfId="5">
      <calculatedColumnFormula>_xlfn.XLOOKUP(tblCost[[#This Row],[Line]],tblBOM[Line],tblBOM[Budget (PKR)])</calculatedColumnFormula>
    </tableColumn>
    <tableColumn id="5" xr3:uid="{6BDAC7DB-0CDA-4CFD-9282-19720A124954}" name="Committed (PKR)" totalsRowFunction="sum" dataDxfId="16" totalsRowDxfId="4"/>
    <tableColumn id="6" xr3:uid="{FF9E96A9-1214-46B9-A905-5A51D4527AD7}" name="Forecast (PKR)" totalsRowFunction="sum" dataDxfId="17" totalsRowDxfId="3">
      <calculatedColumnFormula>IF(tblCost[[#This Row],[Committed (PKR)]]&gt;0,tblCost[[#This Row],[Committed (PKR)]],tblCost[[#This Row],[Budget (PKR)]])</calculatedColumnFormula>
    </tableColumn>
    <tableColumn id="7" xr3:uid="{6A60D83B-8590-428B-9486-F5AA8ED1247E}" name="Variance (PKR)" totalsRowFunction="sum" dataDxfId="20" totalsRowDxfId="2">
      <calculatedColumnFormula>tblCost[[#This Row],[Budget (PKR)]]-tblCost[[#This Row],[Forecast (PKR)]]</calculatedColumnFormula>
    </tableColumn>
    <tableColumn id="8" xr3:uid="{A218C287-27E4-46C1-A61F-91BDACE4C951}" name="Variance %" dataDxfId="19" totalsRowDxfId="1">
      <calculatedColumnFormula>IF(tblCost[[#This Row],[Budget (PKR)]]=0,0,tblCost[[#This Row],[Variance (PKR)]]/tblCost[[#This Row],[Budget (PKR)]])</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4.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08B57-53E4-4B58-8609-BE920336F8C1}">
  <dimension ref="B2:K36"/>
  <sheetViews>
    <sheetView zoomScale="68" zoomScaleNormal="68" workbookViewId="0">
      <selection activeCell="K10" sqref="K10"/>
    </sheetView>
  </sheetViews>
  <sheetFormatPr defaultRowHeight="14.4" x14ac:dyDescent="0.3"/>
  <cols>
    <col min="1" max="1" width="2.77734375" customWidth="1"/>
    <col min="2" max="2" width="6.77734375" customWidth="1"/>
    <col min="3" max="3" width="40.77734375" customWidth="1"/>
    <col min="4" max="4" width="22.77734375" customWidth="1"/>
    <col min="5" max="5" width="9.77734375" customWidth="1"/>
    <col min="6" max="6" width="8.77734375" customWidth="1"/>
    <col min="7" max="7" width="13.77734375" customWidth="1"/>
    <col min="8" max="8" width="14.77734375" customWidth="1"/>
    <col min="9" max="9" width="24.77734375" customWidth="1"/>
    <col min="10" max="10" width="10.77734375" customWidth="1"/>
    <col min="11" max="11" width="27.77734375" customWidth="1"/>
  </cols>
  <sheetData>
    <row r="2" spans="2:11" ht="28.05" customHeight="1" x14ac:dyDescent="0.45">
      <c r="B2" s="1" t="s">
        <v>0</v>
      </c>
    </row>
    <row r="3" spans="2:11" x14ac:dyDescent="0.3">
      <c r="B3" s="2" t="s">
        <v>1</v>
      </c>
    </row>
    <row r="5" spans="2:11" ht="15.6" x14ac:dyDescent="0.3">
      <c r="C5" s="10" t="s">
        <v>2</v>
      </c>
      <c r="D5" s="11"/>
      <c r="I5" s="10" t="s">
        <v>11</v>
      </c>
      <c r="J5" s="11"/>
      <c r="K5" s="11"/>
    </row>
    <row r="6" spans="2:11" x14ac:dyDescent="0.3">
      <c r="C6" t="s">
        <v>3</v>
      </c>
      <c r="D6" s="17">
        <v>580</v>
      </c>
      <c r="I6" t="s">
        <v>12</v>
      </c>
      <c r="K6" s="6">
        <f>D10*D11</f>
        <v>198</v>
      </c>
    </row>
    <row r="7" spans="2:11" x14ac:dyDescent="0.3">
      <c r="C7" t="s">
        <v>4</v>
      </c>
      <c r="D7" s="17">
        <v>52.31</v>
      </c>
      <c r="I7" t="s">
        <v>13</v>
      </c>
      <c r="K7" s="7">
        <f>K6*D6/1000</f>
        <v>114.84</v>
      </c>
    </row>
    <row r="8" spans="2:11" x14ac:dyDescent="0.3">
      <c r="C8" t="s">
        <v>5</v>
      </c>
      <c r="D8" s="17">
        <v>-0.25</v>
      </c>
      <c r="I8" t="s">
        <v>14</v>
      </c>
      <c r="K8" s="7">
        <f>D7*(1+D8/100*(D9-25))</f>
        <v>56.233249999999998</v>
      </c>
    </row>
    <row r="9" spans="2:11" x14ac:dyDescent="0.3">
      <c r="C9" t="s">
        <v>6</v>
      </c>
      <c r="D9" s="17">
        <v>-5</v>
      </c>
      <c r="I9" t="s">
        <v>15</v>
      </c>
      <c r="K9" s="8">
        <f>K8*D10</f>
        <v>1012.1985</v>
      </c>
    </row>
    <row r="10" spans="2:11" x14ac:dyDescent="0.3">
      <c r="C10" t="s">
        <v>7</v>
      </c>
      <c r="D10" s="17">
        <v>18</v>
      </c>
      <c r="I10" t="s">
        <v>16</v>
      </c>
      <c r="K10" s="9" t="str">
        <f>IF(K9&lt;=D12,"OK","Too high")</f>
        <v>OK</v>
      </c>
    </row>
    <row r="11" spans="2:11" x14ac:dyDescent="0.3">
      <c r="C11" t="s">
        <v>8</v>
      </c>
      <c r="D11" s="17">
        <v>11</v>
      </c>
      <c r="I11" t="s">
        <v>17</v>
      </c>
      <c r="K11" s="7">
        <f>D10*D13</f>
        <v>20.771999999999998</v>
      </c>
    </row>
    <row r="12" spans="2:11" x14ac:dyDescent="0.3">
      <c r="C12" t="s">
        <v>9</v>
      </c>
      <c r="D12" s="17">
        <v>1100</v>
      </c>
    </row>
    <row r="13" spans="2:11" x14ac:dyDescent="0.3">
      <c r="C13" t="s">
        <v>10</v>
      </c>
      <c r="D13" s="17">
        <v>1.1539999999999999</v>
      </c>
    </row>
    <row r="15" spans="2:11" ht="15.6" x14ac:dyDescent="0.3">
      <c r="B15" s="4" t="s">
        <v>18</v>
      </c>
    </row>
    <row r="16" spans="2:11" ht="28.8" x14ac:dyDescent="0.3">
      <c r="B16" s="12" t="s">
        <v>19</v>
      </c>
      <c r="C16" s="12" t="s">
        <v>20</v>
      </c>
      <c r="D16" s="12" t="s">
        <v>21</v>
      </c>
      <c r="E16" s="12" t="s">
        <v>22</v>
      </c>
      <c r="F16" s="12" t="s">
        <v>23</v>
      </c>
      <c r="G16" s="12" t="s">
        <v>24</v>
      </c>
      <c r="H16" s="12" t="s">
        <v>25</v>
      </c>
      <c r="I16" s="12" t="s">
        <v>26</v>
      </c>
      <c r="J16" s="12" t="s">
        <v>27</v>
      </c>
      <c r="K16" s="12" t="s">
        <v>28</v>
      </c>
    </row>
    <row r="17" spans="2:11" x14ac:dyDescent="0.3">
      <c r="B17">
        <v>1</v>
      </c>
      <c r="C17" t="s">
        <v>29</v>
      </c>
      <c r="D17" t="s">
        <v>30</v>
      </c>
      <c r="E17" t="s">
        <v>31</v>
      </c>
      <c r="F17" s="13">
        <f>$K$6</f>
        <v>198</v>
      </c>
      <c r="G17" s="14">
        <v>15660</v>
      </c>
      <c r="H17" s="13">
        <f>tblBOM[[#This Row],[Qty]]*tblBOM[[#This Row],[Unit rate (PKR)]]</f>
        <v>3100680</v>
      </c>
      <c r="I17" t="s">
        <v>32</v>
      </c>
      <c r="J17">
        <v>8</v>
      </c>
      <c r="K17" t="s">
        <v>33</v>
      </c>
    </row>
    <row r="18" spans="2:11" x14ac:dyDescent="0.3">
      <c r="B18">
        <v>2</v>
      </c>
      <c r="C18" t="s">
        <v>34</v>
      </c>
      <c r="D18" t="s">
        <v>35</v>
      </c>
      <c r="E18" t="s">
        <v>31</v>
      </c>
      <c r="F18" s="13">
        <v>1</v>
      </c>
      <c r="G18" s="14">
        <v>1450000</v>
      </c>
      <c r="H18" s="13">
        <f>tblBOM[[#This Row],[Qty]]*tblBOM[[#This Row],[Unit rate (PKR)]]</f>
        <v>1450000</v>
      </c>
      <c r="I18" t="s">
        <v>36</v>
      </c>
      <c r="J18">
        <v>12</v>
      </c>
      <c r="K18" t="s">
        <v>37</v>
      </c>
    </row>
    <row r="19" spans="2:11" x14ac:dyDescent="0.3">
      <c r="B19">
        <v>3</v>
      </c>
      <c r="C19" t="s">
        <v>38</v>
      </c>
      <c r="D19" t="s">
        <v>35</v>
      </c>
      <c r="E19" t="s">
        <v>31</v>
      </c>
      <c r="F19" s="13">
        <v>1</v>
      </c>
      <c r="G19" s="14">
        <v>42000</v>
      </c>
      <c r="H19" s="13">
        <f>tblBOM[[#This Row],[Qty]]*tblBOM[[#This Row],[Unit rate (PKR)]]</f>
        <v>42000</v>
      </c>
      <c r="I19" t="s">
        <v>36</v>
      </c>
      <c r="J19">
        <v>12</v>
      </c>
      <c r="K19" t="s">
        <v>37</v>
      </c>
    </row>
    <row r="20" spans="2:11" x14ac:dyDescent="0.3">
      <c r="B20">
        <v>4</v>
      </c>
      <c r="C20" t="s">
        <v>39</v>
      </c>
      <c r="D20" t="s">
        <v>40</v>
      </c>
      <c r="E20" t="s">
        <v>31</v>
      </c>
      <c r="F20" s="13">
        <f>$D$11*2*ROUNDUP($K$11/4.2,0)</f>
        <v>110</v>
      </c>
      <c r="G20" s="14">
        <v>4800</v>
      </c>
      <c r="H20" s="13">
        <f>tblBOM[[#This Row],[Qty]]*tblBOM[[#This Row],[Unit rate (PKR)]]</f>
        <v>528000</v>
      </c>
      <c r="I20" t="s">
        <v>41</v>
      </c>
      <c r="J20">
        <v>7</v>
      </c>
      <c r="K20" t="s">
        <v>42</v>
      </c>
    </row>
    <row r="21" spans="2:11" x14ac:dyDescent="0.3">
      <c r="B21">
        <v>5</v>
      </c>
      <c r="C21" t="s">
        <v>43</v>
      </c>
      <c r="D21" t="s">
        <v>40</v>
      </c>
      <c r="E21" t="s">
        <v>31</v>
      </c>
      <c r="F21" s="13">
        <f>$D$11*(2*($D$10-1)+4)</f>
        <v>418</v>
      </c>
      <c r="G21" s="14">
        <v>220</v>
      </c>
      <c r="H21" s="13">
        <f>tblBOM[[#This Row],[Qty]]*tblBOM[[#This Row],[Unit rate (PKR)]]</f>
        <v>91960</v>
      </c>
      <c r="I21" t="s">
        <v>41</v>
      </c>
      <c r="J21">
        <v>7</v>
      </c>
      <c r="K21" t="s">
        <v>42</v>
      </c>
    </row>
    <row r="22" spans="2:11" x14ac:dyDescent="0.3">
      <c r="B22">
        <v>6</v>
      </c>
      <c r="C22" t="s">
        <v>44</v>
      </c>
      <c r="D22" t="s">
        <v>40</v>
      </c>
      <c r="E22" t="s">
        <v>31</v>
      </c>
      <c r="F22" s="13">
        <f>$D$11*2*(ROUNDUP($K$11/1.2,0)+1)</f>
        <v>418</v>
      </c>
      <c r="G22" s="14">
        <v>450</v>
      </c>
      <c r="H22" s="13">
        <f>tblBOM[[#This Row],[Qty]]*tblBOM[[#This Row],[Unit rate (PKR)]]</f>
        <v>188100</v>
      </c>
      <c r="I22" t="s">
        <v>41</v>
      </c>
      <c r="J22">
        <v>7</v>
      </c>
      <c r="K22" t="s">
        <v>42</v>
      </c>
    </row>
    <row r="23" spans="2:11" x14ac:dyDescent="0.3">
      <c r="B23">
        <v>7</v>
      </c>
      <c r="C23" t="s">
        <v>45</v>
      </c>
      <c r="D23" t="s">
        <v>46</v>
      </c>
      <c r="E23" t="s">
        <v>47</v>
      </c>
      <c r="F23" s="13">
        <f>ROUNDUP($D$11*40*2*1.1,0)</f>
        <v>968</v>
      </c>
      <c r="G23" s="14">
        <v>260</v>
      </c>
      <c r="H23" s="13">
        <f>tblBOM[[#This Row],[Qty]]*tblBOM[[#This Row],[Unit rate (PKR)]]</f>
        <v>251680</v>
      </c>
      <c r="I23" t="s">
        <v>48</v>
      </c>
      <c r="J23">
        <v>4</v>
      </c>
      <c r="K23" t="s">
        <v>33</v>
      </c>
    </row>
    <row r="24" spans="2:11" x14ac:dyDescent="0.3">
      <c r="B24">
        <v>8</v>
      </c>
      <c r="C24" t="s">
        <v>49</v>
      </c>
      <c r="D24" t="s">
        <v>46</v>
      </c>
      <c r="E24" t="s">
        <v>50</v>
      </c>
      <c r="F24" s="13">
        <f>ROUNDUP($D$11*2*1.1,0)</f>
        <v>25</v>
      </c>
      <c r="G24" s="14">
        <v>350</v>
      </c>
      <c r="H24" s="13">
        <f>tblBOM[[#This Row],[Qty]]*tblBOM[[#This Row],[Unit rate (PKR)]]</f>
        <v>8750</v>
      </c>
      <c r="I24" t="s">
        <v>48</v>
      </c>
      <c r="J24">
        <v>4</v>
      </c>
      <c r="K24" t="s">
        <v>33</v>
      </c>
    </row>
    <row r="25" spans="2:11" x14ac:dyDescent="0.3">
      <c r="B25">
        <v>9</v>
      </c>
      <c r="C25" t="s">
        <v>51</v>
      </c>
      <c r="D25" t="s">
        <v>46</v>
      </c>
      <c r="E25" t="s">
        <v>47</v>
      </c>
      <c r="F25" s="13">
        <v>60</v>
      </c>
      <c r="G25" s="14">
        <v>1800</v>
      </c>
      <c r="H25" s="13">
        <f>tblBOM[[#This Row],[Qty]]*tblBOM[[#This Row],[Unit rate (PKR)]]</f>
        <v>108000</v>
      </c>
      <c r="I25" t="s">
        <v>48</v>
      </c>
      <c r="J25">
        <v>5</v>
      </c>
      <c r="K25" t="s">
        <v>37</v>
      </c>
    </row>
    <row r="26" spans="2:11" x14ac:dyDescent="0.3">
      <c r="B26">
        <v>10</v>
      </c>
      <c r="C26" t="s">
        <v>52</v>
      </c>
      <c r="D26" t="s">
        <v>53</v>
      </c>
      <c r="E26" t="s">
        <v>47</v>
      </c>
      <c r="F26" s="13">
        <f>ROUNDUP(30*1.1,0)</f>
        <v>33</v>
      </c>
      <c r="G26" s="14">
        <v>8500</v>
      </c>
      <c r="H26" s="13">
        <f>tblBOM[[#This Row],[Qty]]*tblBOM[[#This Row],[Unit rate (PKR)]]</f>
        <v>280500</v>
      </c>
      <c r="I26" t="s">
        <v>48</v>
      </c>
      <c r="J26">
        <v>6</v>
      </c>
      <c r="K26" t="s">
        <v>37</v>
      </c>
    </row>
    <row r="27" spans="2:11" x14ac:dyDescent="0.3">
      <c r="B27">
        <v>11</v>
      </c>
      <c r="C27" t="s">
        <v>54</v>
      </c>
      <c r="D27" t="s">
        <v>53</v>
      </c>
      <c r="E27" t="s">
        <v>31</v>
      </c>
      <c r="F27" s="13">
        <v>1</v>
      </c>
      <c r="G27" s="14">
        <v>85000</v>
      </c>
      <c r="H27" s="13">
        <f>tblBOM[[#This Row],[Qty]]*tblBOM[[#This Row],[Unit rate (PKR)]]</f>
        <v>85000</v>
      </c>
      <c r="I27" t="s">
        <v>48</v>
      </c>
      <c r="J27">
        <v>7</v>
      </c>
      <c r="K27" t="s">
        <v>37</v>
      </c>
    </row>
    <row r="28" spans="2:11" x14ac:dyDescent="0.3">
      <c r="B28">
        <v>12</v>
      </c>
      <c r="C28" t="s">
        <v>55</v>
      </c>
      <c r="D28" t="s">
        <v>53</v>
      </c>
      <c r="E28" t="s">
        <v>31</v>
      </c>
      <c r="F28" s="13">
        <v>1</v>
      </c>
      <c r="G28" s="14">
        <v>28000</v>
      </c>
      <c r="H28" s="13">
        <f>tblBOM[[#This Row],[Qty]]*tblBOM[[#This Row],[Unit rate (PKR)]]</f>
        <v>28000</v>
      </c>
      <c r="I28" t="s">
        <v>48</v>
      </c>
      <c r="J28">
        <v>7</v>
      </c>
      <c r="K28" t="s">
        <v>37</v>
      </c>
    </row>
    <row r="29" spans="2:11" x14ac:dyDescent="0.3">
      <c r="B29">
        <v>13</v>
      </c>
      <c r="C29" t="s">
        <v>56</v>
      </c>
      <c r="D29" t="s">
        <v>57</v>
      </c>
      <c r="E29" t="s">
        <v>58</v>
      </c>
      <c r="F29" s="13">
        <v>1</v>
      </c>
      <c r="G29" s="14">
        <v>104000</v>
      </c>
      <c r="H29" s="13">
        <f>tblBOM[[#This Row],[Qty]]*tblBOM[[#This Row],[Unit rate (PKR)]]</f>
        <v>104000</v>
      </c>
      <c r="I29" t="s">
        <v>48</v>
      </c>
      <c r="J29">
        <v>3</v>
      </c>
      <c r="K29" t="s">
        <v>42</v>
      </c>
    </row>
    <row r="30" spans="2:11" x14ac:dyDescent="0.3">
      <c r="B30">
        <v>14</v>
      </c>
      <c r="C30" t="s">
        <v>59</v>
      </c>
      <c r="D30" t="s">
        <v>60</v>
      </c>
      <c r="E30" t="s">
        <v>61</v>
      </c>
      <c r="F30" s="13">
        <f>ROUNDUP($K$6/40,0)</f>
        <v>5</v>
      </c>
      <c r="G30" s="14">
        <v>30000</v>
      </c>
      <c r="H30" s="13">
        <f>tblBOM[[#This Row],[Qty]]*tblBOM[[#This Row],[Unit rate (PKR)]]</f>
        <v>150000</v>
      </c>
      <c r="I30" t="s">
        <v>62</v>
      </c>
      <c r="J30">
        <v>5</v>
      </c>
      <c r="K30" t="s">
        <v>42</v>
      </c>
    </row>
    <row r="31" spans="2:11" x14ac:dyDescent="0.3">
      <c r="B31">
        <v>15</v>
      </c>
      <c r="C31" t="s">
        <v>63</v>
      </c>
      <c r="D31" t="s">
        <v>60</v>
      </c>
      <c r="E31" t="s">
        <v>61</v>
      </c>
      <c r="F31" s="13">
        <v>4</v>
      </c>
      <c r="G31" s="14">
        <v>35000</v>
      </c>
      <c r="H31" s="13">
        <f>tblBOM[[#This Row],[Qty]]*tblBOM[[#This Row],[Unit rate (PKR)]]</f>
        <v>140000</v>
      </c>
      <c r="I31" t="s">
        <v>62</v>
      </c>
      <c r="J31">
        <v>5</v>
      </c>
      <c r="K31" t="s">
        <v>37</v>
      </c>
    </row>
    <row r="32" spans="2:11" x14ac:dyDescent="0.3">
      <c r="B32">
        <v>16</v>
      </c>
      <c r="C32" t="s">
        <v>64</v>
      </c>
      <c r="D32" t="s">
        <v>60</v>
      </c>
      <c r="E32" t="s">
        <v>58</v>
      </c>
      <c r="F32" s="13">
        <v>1</v>
      </c>
      <c r="G32" s="14">
        <v>150000</v>
      </c>
      <c r="H32" s="13">
        <f>tblBOM[[#This Row],[Qty]]*tblBOM[[#This Row],[Unit rate (PKR)]]</f>
        <v>150000</v>
      </c>
      <c r="I32" t="s">
        <v>65</v>
      </c>
      <c r="J32">
        <v>3</v>
      </c>
      <c r="K32" t="s">
        <v>66</v>
      </c>
    </row>
    <row r="33" spans="2:11" x14ac:dyDescent="0.3">
      <c r="B33">
        <v>17</v>
      </c>
      <c r="C33" t="s">
        <v>67</v>
      </c>
      <c r="D33" t="s">
        <v>60</v>
      </c>
      <c r="E33" t="s">
        <v>58</v>
      </c>
      <c r="F33" s="13">
        <v>1</v>
      </c>
      <c r="G33" s="14">
        <v>80000</v>
      </c>
      <c r="H33" s="13">
        <f>tblBOM[[#This Row],[Qty]]*tblBOM[[#This Row],[Unit rate (PKR)]]</f>
        <v>80000</v>
      </c>
      <c r="I33" t="s">
        <v>68</v>
      </c>
      <c r="J33">
        <v>5</v>
      </c>
      <c r="K33" t="s">
        <v>66</v>
      </c>
    </row>
    <row r="34" spans="2:11" x14ac:dyDescent="0.3">
      <c r="B34">
        <v>18</v>
      </c>
      <c r="C34" t="s">
        <v>69</v>
      </c>
      <c r="D34" t="s">
        <v>60</v>
      </c>
      <c r="E34" t="s">
        <v>58</v>
      </c>
      <c r="F34" s="13">
        <v>1</v>
      </c>
      <c r="G34" s="14">
        <v>120000</v>
      </c>
      <c r="H34" s="13">
        <f>tblBOM[[#This Row],[Qty]]*tblBOM[[#This Row],[Unit rate (PKR)]]</f>
        <v>120000</v>
      </c>
      <c r="I34" t="s">
        <v>68</v>
      </c>
      <c r="J34">
        <v>5</v>
      </c>
      <c r="K34" t="s">
        <v>69</v>
      </c>
    </row>
    <row r="35" spans="2:11" x14ac:dyDescent="0.3">
      <c r="B35">
        <v>19</v>
      </c>
      <c r="C35" t="s">
        <v>70</v>
      </c>
      <c r="D35" t="s">
        <v>71</v>
      </c>
      <c r="E35" t="s">
        <v>58</v>
      </c>
      <c r="F35" s="13">
        <v>1</v>
      </c>
      <c r="G35" s="14">
        <v>200000</v>
      </c>
      <c r="H35" s="13">
        <f>tblBOM[[#This Row],[Qty]]*tblBOM[[#This Row],[Unit rate (PKR)]]</f>
        <v>200000</v>
      </c>
      <c r="I35" t="s">
        <v>72</v>
      </c>
      <c r="J35">
        <v>35</v>
      </c>
      <c r="K35" t="s">
        <v>73</v>
      </c>
    </row>
    <row r="36" spans="2:11" x14ac:dyDescent="0.3">
      <c r="B36" s="15"/>
      <c r="C36" s="15" t="s">
        <v>75</v>
      </c>
      <c r="D36" s="15"/>
      <c r="E36" s="15"/>
      <c r="F36" s="15"/>
      <c r="G36" s="16"/>
      <c r="H36" s="15">
        <f>SUBTOTAL(109,tblBOM[Budget (PKR)])</f>
        <v>7106670</v>
      </c>
      <c r="I36" s="15"/>
      <c r="J36" s="15"/>
      <c r="K36" s="15"/>
    </row>
  </sheetData>
  <conditionalFormatting sqref="K10">
    <cfRule type="containsText" dxfId="15" priority="1" stopIfTrue="1" operator="containsText" text="OK">
      <formula>NOT(ISERROR(SEARCH("OK",K10)))</formula>
    </cfRule>
    <cfRule type="containsText" dxfId="14" priority="2" stopIfTrue="1" operator="containsText" text="Too high">
      <formula>NOT(ISERROR(SEARCH("Too high",K10)))</formula>
    </cfRule>
  </conditionalFormatting>
  <dataValidations count="1">
    <dataValidation type="list" allowBlank="1" showInputMessage="1" showErrorMessage="1" sqref="D17:D35" xr:uid="{52FAEE87-59D1-4DD0-BCF6-1A47E72981B0}">
      <formula1>"Modules,Inverter and monitoring,Mounting,DC electrical,AC electrical,Earthing,Labour and services,Approvals"</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203A970B-F082-4401-B51C-82D6A2229C9B}">
          <x14:formula1>
            <xm:f>Procurement!$C$11:$C$17</xm:f>
          </x14:formula1>
          <xm:sqref>K17:K35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6568E-E23A-4006-BC26-9D38102959A8}">
  <dimension ref="B2:L39"/>
  <sheetViews>
    <sheetView zoomScale="66" zoomScaleNormal="66" workbookViewId="0">
      <selection activeCell="L22" sqref="L22"/>
    </sheetView>
  </sheetViews>
  <sheetFormatPr defaultRowHeight="14.4" x14ac:dyDescent="0.3"/>
  <cols>
    <col min="1" max="1" width="2.77734375" customWidth="1"/>
    <col min="2" max="2" width="6.77734375" customWidth="1"/>
    <col min="3" max="3" width="40.77734375" customWidth="1"/>
    <col min="4" max="4" width="27.77734375" customWidth="1"/>
    <col min="5" max="5" width="14.77734375" customWidth="1"/>
    <col min="6" max="6" width="10.77734375" customWidth="1"/>
    <col min="7" max="7" width="13.77734375" customWidth="1"/>
    <col min="8" max="8" width="12.77734375" customWidth="1"/>
    <col min="9" max="9" width="13.77734375" customWidth="1"/>
    <col min="10" max="10" width="12.77734375" customWidth="1"/>
    <col min="11" max="11" width="9.77734375" customWidth="1"/>
    <col min="12" max="12" width="15.77734375" customWidth="1"/>
  </cols>
  <sheetData>
    <row r="2" spans="2:5" ht="28.05" customHeight="1" x14ac:dyDescent="0.45">
      <c r="B2" s="1" t="s">
        <v>76</v>
      </c>
    </row>
    <row r="3" spans="2:5" x14ac:dyDescent="0.3">
      <c r="B3" s="2" t="s">
        <v>77</v>
      </c>
    </row>
    <row r="4" spans="2:5" ht="15.6" x14ac:dyDescent="0.3">
      <c r="C4" s="10" t="s">
        <v>78</v>
      </c>
      <c r="D4" s="11"/>
    </row>
    <row r="5" spans="2:5" x14ac:dyDescent="0.3">
      <c r="C5" t="s">
        <v>79</v>
      </c>
      <c r="D5" s="18">
        <v>46272</v>
      </c>
    </row>
    <row r="6" spans="2:5" x14ac:dyDescent="0.3">
      <c r="C6" t="s">
        <v>80</v>
      </c>
      <c r="D6" s="18">
        <v>46286</v>
      </c>
    </row>
    <row r="7" spans="2:5" x14ac:dyDescent="0.3">
      <c r="C7" t="s">
        <v>81</v>
      </c>
      <c r="D7" s="17">
        <v>3</v>
      </c>
    </row>
    <row r="9" spans="2:5" ht="15.6" x14ac:dyDescent="0.3">
      <c r="C9" s="4" t="s">
        <v>82</v>
      </c>
    </row>
    <row r="10" spans="2:5" x14ac:dyDescent="0.3">
      <c r="C10" s="12" t="s">
        <v>83</v>
      </c>
      <c r="D10" s="12" t="s">
        <v>84</v>
      </c>
      <c r="E10" s="12" t="s">
        <v>85</v>
      </c>
    </row>
    <row r="11" spans="2:5" x14ac:dyDescent="0.3">
      <c r="C11" t="s">
        <v>86</v>
      </c>
      <c r="D11" s="5">
        <v>0</v>
      </c>
      <c r="E11" s="19">
        <f>WORKDAY.INTL($D$5,tblMilestones[[#This Row],[Working days after award]],11)</f>
        <v>46272</v>
      </c>
    </row>
    <row r="12" spans="2:5" x14ac:dyDescent="0.3">
      <c r="C12" t="s">
        <v>66</v>
      </c>
      <c r="D12" s="5">
        <v>14</v>
      </c>
      <c r="E12" s="19">
        <f>WORKDAY.INTL($D$5,tblMilestones[[#This Row],[Working days after award]],11)</f>
        <v>46288</v>
      </c>
    </row>
    <row r="13" spans="2:5" x14ac:dyDescent="0.3">
      <c r="C13" t="s">
        <v>42</v>
      </c>
      <c r="D13" s="5">
        <v>15</v>
      </c>
      <c r="E13" s="19">
        <f>WORKDAY.INTL($D$5,tblMilestones[[#This Row],[Working days after award]],11)</f>
        <v>46289</v>
      </c>
    </row>
    <row r="14" spans="2:5" x14ac:dyDescent="0.3">
      <c r="C14" t="s">
        <v>33</v>
      </c>
      <c r="D14" s="5">
        <v>19</v>
      </c>
      <c r="E14" s="19">
        <f>WORKDAY.INTL($D$5,tblMilestones[[#This Row],[Working days after award]],11)</f>
        <v>46294</v>
      </c>
    </row>
    <row r="15" spans="2:5" x14ac:dyDescent="0.3">
      <c r="C15" t="s">
        <v>37</v>
      </c>
      <c r="D15" s="5">
        <v>21</v>
      </c>
      <c r="E15" s="19">
        <f>WORKDAY.INTL($D$5,tblMilestones[[#This Row],[Working days after award]],11)</f>
        <v>46296</v>
      </c>
    </row>
    <row r="16" spans="2:5" x14ac:dyDescent="0.3">
      <c r="C16" t="s">
        <v>69</v>
      </c>
      <c r="D16" s="5">
        <v>26</v>
      </c>
      <c r="E16" s="19">
        <f>WORKDAY.INTL($D$5,tblMilestones[[#This Row],[Working days after award]],11)</f>
        <v>46302</v>
      </c>
    </row>
    <row r="17" spans="2:12" x14ac:dyDescent="0.3">
      <c r="C17" t="s">
        <v>73</v>
      </c>
      <c r="D17" s="5">
        <v>45</v>
      </c>
      <c r="E17" s="19">
        <f>WORKDAY.INTL($D$5,tblMilestones[[#This Row],[Working days after award]],11)</f>
        <v>46324</v>
      </c>
    </row>
    <row r="19" spans="2:12" ht="15.6" x14ac:dyDescent="0.3">
      <c r="B19" s="4" t="s">
        <v>87</v>
      </c>
    </row>
    <row r="20" spans="2:12" ht="28.8" x14ac:dyDescent="0.3">
      <c r="B20" s="12" t="s">
        <v>19</v>
      </c>
      <c r="C20" s="12" t="s">
        <v>20</v>
      </c>
      <c r="D20" s="12" t="s">
        <v>28</v>
      </c>
      <c r="E20" s="12" t="s">
        <v>88</v>
      </c>
      <c r="F20" s="12" t="s">
        <v>27</v>
      </c>
      <c r="G20" s="12" t="s">
        <v>89</v>
      </c>
      <c r="H20" s="12" t="s">
        <v>90</v>
      </c>
      <c r="I20" s="12" t="s">
        <v>91</v>
      </c>
      <c r="J20" s="12" t="s">
        <v>92</v>
      </c>
      <c r="K20" s="12" t="s">
        <v>93</v>
      </c>
      <c r="L20" s="12" t="s">
        <v>94</v>
      </c>
    </row>
    <row r="21" spans="2:12" x14ac:dyDescent="0.3">
      <c r="B21">
        <v>1</v>
      </c>
      <c r="C21" t="str">
        <f>_xlfn.XLOOKUP(tblProc[[#This Row],[Line]],tblBOM[Line],tblBOM[Item])</f>
        <v>PV module, Jinko JKM580N-72HL4-V 580 W</v>
      </c>
      <c r="D21" t="str">
        <f>_xlfn.XLOOKUP(tblProc[[#This Row],[Line]],tblBOM[Line],tblBOM[Needed for])</f>
        <v>Module installation start</v>
      </c>
      <c r="E21" s="20">
        <f>_xlfn.XLOOKUP(tblProc[[#This Row],[Needed for]],tblMilestones[Milestone],tblMilestones[Date])</f>
        <v>46294</v>
      </c>
      <c r="F21">
        <f>_xlfn.XLOOKUP(tblProc[[#This Row],[Line]],tblBOM[Line],tblBOM[Lead time (days)])</f>
        <v>8</v>
      </c>
      <c r="G21" s="20">
        <f>WORKDAY.INTL(tblProc[[#This Row],[Required on site]],-(tblProc[[#This Row],[Lead time (days)]]+$D$7),11)</f>
        <v>46281</v>
      </c>
      <c r="H21" s="21">
        <v>46280</v>
      </c>
      <c r="I21" s="20">
        <f>IF(tblProc[[#This Row],[PO date]]="","",WORKDAY.INTL(tblProc[[#This Row],[PO date]],tblProc[[#This Row],[Lead time (days)]],11))</f>
        <v>46289</v>
      </c>
      <c r="J21" s="21"/>
      <c r="K21" s="23">
        <f>IF(tblProc[[#This Row],[PO date]]="",tblProc[[#This Row],[Order by]]-$D$6,tblProc[[#This Row],[Required on site]]-tblProc[[#This Row],[Expected delivery]])</f>
        <v>5</v>
      </c>
      <c r="L21" s="22" t="str">
        <f>IF(tblProc[[#This Row],[Delivered]]&lt;&gt;"","Delivered",IF(tblProc[[#This Row],[PO date]]="",IF($D$6&gt;tblProc[[#This Row],[Order by]],"Order overdue",IF(tblProc[[#This Row],[Order by]]-$D$6&lt;=3,"Order due","Not yet due")),IF(tblProc[[#This Row],[Expected delivery]]&gt;tblProc[[#This Row],[Required on site]],"Late delivery","On order")))</f>
        <v>On order</v>
      </c>
    </row>
    <row r="22" spans="2:12" x14ac:dyDescent="0.3">
      <c r="B22">
        <v>2</v>
      </c>
      <c r="C22" t="str">
        <f>_xlfn.XLOOKUP(tblProc[[#This Row],[Line]],tblBOM[Line],tblBOM[Item])</f>
        <v>Inverter, Huawei SUN2000-100KTL-M2</v>
      </c>
      <c r="D22" t="str">
        <f>_xlfn.XLOOKUP(tblProc[[#This Row],[Line]],tblBOM[Line],tblBOM[Needed for])</f>
        <v>Electrical installation start</v>
      </c>
      <c r="E22" s="20">
        <f>_xlfn.XLOOKUP(tblProc[[#This Row],[Needed for]],tblMilestones[Milestone],tblMilestones[Date])</f>
        <v>46296</v>
      </c>
      <c r="F22">
        <f>_xlfn.XLOOKUP(tblProc[[#This Row],[Line]],tblBOM[Line],tblBOM[Lead time (days)])</f>
        <v>12</v>
      </c>
      <c r="G22" s="20">
        <f>WORKDAY.INTL(tblProc[[#This Row],[Required on site]],-(tblProc[[#This Row],[Lead time (days)]]+$D$7),11)</f>
        <v>46279</v>
      </c>
      <c r="H22" s="21">
        <v>46283</v>
      </c>
      <c r="I22" s="20">
        <f>IF(tblProc[[#This Row],[PO date]]="","",WORKDAY.INTL(tblProc[[#This Row],[PO date]],tblProc[[#This Row],[Lead time (days)]],11))</f>
        <v>46297</v>
      </c>
      <c r="J22" s="21"/>
      <c r="K22" s="23">
        <f>IF(tblProc[[#This Row],[PO date]]="",tblProc[[#This Row],[Order by]]-$D$6,tblProc[[#This Row],[Required on site]]-tblProc[[#This Row],[Expected delivery]])</f>
        <v>-1</v>
      </c>
      <c r="L22" s="22" t="str">
        <f>IF(tblProc[[#This Row],[Delivered]]&lt;&gt;"","Delivered",IF(tblProc[[#This Row],[PO date]]="",IF($D$6&gt;tblProc[[#This Row],[Order by]],"Order overdue",IF(tblProc[[#This Row],[Order by]]-$D$6&lt;=3,"Order due","Not yet due")),IF(tblProc[[#This Row],[Expected delivery]]&gt;tblProc[[#This Row],[Required on site]],"Late delivery","On order")))</f>
        <v>Late delivery</v>
      </c>
    </row>
    <row r="23" spans="2:12" x14ac:dyDescent="0.3">
      <c r="B23">
        <v>3</v>
      </c>
      <c r="C23" t="str">
        <f>_xlfn.XLOOKUP(tblProc[[#This Row],[Line]],tblBOM[Line],tblBOM[Item])</f>
        <v>Monitoring dongle (4G)</v>
      </c>
      <c r="D23" t="str">
        <f>_xlfn.XLOOKUP(tblProc[[#This Row],[Line]],tblBOM[Line],tblBOM[Needed for])</f>
        <v>Electrical installation start</v>
      </c>
      <c r="E23" s="20">
        <f>_xlfn.XLOOKUP(tblProc[[#This Row],[Needed for]],tblMilestones[Milestone],tblMilestones[Date])</f>
        <v>46296</v>
      </c>
      <c r="F23">
        <f>_xlfn.XLOOKUP(tblProc[[#This Row],[Line]],tblBOM[Line],tblBOM[Lead time (days)])</f>
        <v>12</v>
      </c>
      <c r="G23" s="20">
        <f>WORKDAY.INTL(tblProc[[#This Row],[Required on site]],-(tblProc[[#This Row],[Lead time (days)]]+$D$7),11)</f>
        <v>46279</v>
      </c>
      <c r="H23" s="21">
        <v>46283</v>
      </c>
      <c r="I23" s="20">
        <f>IF(tblProc[[#This Row],[PO date]]="","",WORKDAY.INTL(tblProc[[#This Row],[PO date]],tblProc[[#This Row],[Lead time (days)]],11))</f>
        <v>46297</v>
      </c>
      <c r="J23" s="21"/>
      <c r="K23" s="23">
        <f>IF(tblProc[[#This Row],[PO date]]="",tblProc[[#This Row],[Order by]]-$D$6,tblProc[[#This Row],[Required on site]]-tblProc[[#This Row],[Expected delivery]])</f>
        <v>-1</v>
      </c>
      <c r="L23" s="22" t="str">
        <f>IF(tblProc[[#This Row],[Delivered]]&lt;&gt;"","Delivered",IF(tblProc[[#This Row],[PO date]]="",IF($D$6&gt;tblProc[[#This Row],[Order by]],"Order overdue",IF(tblProc[[#This Row],[Order by]]-$D$6&lt;=3,"Order due","Not yet due")),IF(tblProc[[#This Row],[Expected delivery]]&gt;tblProc[[#This Row],[Required on site]],"Late delivery","On order")))</f>
        <v>Late delivery</v>
      </c>
    </row>
    <row r="24" spans="2:12" x14ac:dyDescent="0.3">
      <c r="B24">
        <v>4</v>
      </c>
      <c r="C24" t="str">
        <f>_xlfn.XLOOKUP(tblProc[[#This Row],[Line]],tblBOM[Line],tblBOM[Item])</f>
        <v>Mounting rail, 4.2 m</v>
      </c>
      <c r="D24" t="str">
        <f>_xlfn.XLOOKUP(tblProc[[#This Row],[Line]],tblBOM[Line],tblBOM[Needed for])</f>
        <v>Mounting installation start</v>
      </c>
      <c r="E24" s="20">
        <f>_xlfn.XLOOKUP(tblProc[[#This Row],[Needed for]],tblMilestones[Milestone],tblMilestones[Date])</f>
        <v>46289</v>
      </c>
      <c r="F24">
        <f>_xlfn.XLOOKUP(tblProc[[#This Row],[Line]],tblBOM[Line],tblBOM[Lead time (days)])</f>
        <v>7</v>
      </c>
      <c r="G24" s="20">
        <f>WORKDAY.INTL(tblProc[[#This Row],[Required on site]],-(tblProc[[#This Row],[Lead time (days)]]+$D$7),11)</f>
        <v>46277</v>
      </c>
      <c r="H24" s="21">
        <v>46276</v>
      </c>
      <c r="I24" s="20">
        <f>IF(tblProc[[#This Row],[PO date]]="","",WORKDAY.INTL(tblProc[[#This Row],[PO date]],tblProc[[#This Row],[Lead time (days)]],11))</f>
        <v>46284</v>
      </c>
      <c r="J24" s="21">
        <v>46284</v>
      </c>
      <c r="K24" s="23">
        <f>IF(tblProc[[#This Row],[PO date]]="",tblProc[[#This Row],[Order by]]-$D$6,tblProc[[#This Row],[Required on site]]-tblProc[[#This Row],[Expected delivery]])</f>
        <v>5</v>
      </c>
      <c r="L24" s="22" t="str">
        <f>IF(tblProc[[#This Row],[Delivered]]&lt;&gt;"","Delivered",IF(tblProc[[#This Row],[PO date]]="",IF($D$6&gt;tblProc[[#This Row],[Order by]],"Order overdue",IF(tblProc[[#This Row],[Order by]]-$D$6&lt;=3,"Order due","Not yet due")),IF(tblProc[[#This Row],[Expected delivery]]&gt;tblProc[[#This Row],[Required on site]],"Late delivery","On order")))</f>
        <v>Delivered</v>
      </c>
    </row>
    <row r="25" spans="2:12" x14ac:dyDescent="0.3">
      <c r="B25">
        <v>5</v>
      </c>
      <c r="C25" t="str">
        <f>_xlfn.XLOOKUP(tblProc[[#This Row],[Line]],tblBOM[Line],tblBOM[Item])</f>
        <v>Module clamps (mid and end)</v>
      </c>
      <c r="D25" t="str">
        <f>_xlfn.XLOOKUP(tblProc[[#This Row],[Line]],tblBOM[Line],tblBOM[Needed for])</f>
        <v>Mounting installation start</v>
      </c>
      <c r="E25" s="20">
        <f>_xlfn.XLOOKUP(tblProc[[#This Row],[Needed for]],tblMilestones[Milestone],tblMilestones[Date])</f>
        <v>46289</v>
      </c>
      <c r="F25">
        <f>_xlfn.XLOOKUP(tblProc[[#This Row],[Line]],tblBOM[Line],tblBOM[Lead time (days)])</f>
        <v>7</v>
      </c>
      <c r="G25" s="20">
        <f>WORKDAY.INTL(tblProc[[#This Row],[Required on site]],-(tblProc[[#This Row],[Lead time (days)]]+$D$7),11)</f>
        <v>46277</v>
      </c>
      <c r="H25" s="21">
        <v>46276</v>
      </c>
      <c r="I25" s="20">
        <f>IF(tblProc[[#This Row],[PO date]]="","",WORKDAY.INTL(tblProc[[#This Row],[PO date]],tblProc[[#This Row],[Lead time (days)]],11))</f>
        <v>46284</v>
      </c>
      <c r="J25" s="21">
        <v>46284</v>
      </c>
      <c r="K25" s="23">
        <f>IF(tblProc[[#This Row],[PO date]]="",tblProc[[#This Row],[Order by]]-$D$6,tblProc[[#This Row],[Required on site]]-tblProc[[#This Row],[Expected delivery]])</f>
        <v>5</v>
      </c>
      <c r="L25" s="22" t="str">
        <f>IF(tblProc[[#This Row],[Delivered]]&lt;&gt;"","Delivered",IF(tblProc[[#This Row],[PO date]]="",IF($D$6&gt;tblProc[[#This Row],[Order by]],"Order overdue",IF(tblProc[[#This Row],[Order by]]-$D$6&lt;=3,"Order due","Not yet due")),IF(tblProc[[#This Row],[Expected delivery]]&gt;tblProc[[#This Row],[Required on site]],"Late delivery","On order")))</f>
        <v>Delivered</v>
      </c>
    </row>
    <row r="26" spans="2:12" x14ac:dyDescent="0.3">
      <c r="B26">
        <v>6</v>
      </c>
      <c r="C26" t="str">
        <f>_xlfn.XLOOKUP(tblProc[[#This Row],[Line]],tblBOM[Line],tblBOM[Item])</f>
        <v>Roof attachment (L-foot with fixings)</v>
      </c>
      <c r="D26" t="str">
        <f>_xlfn.XLOOKUP(tblProc[[#This Row],[Line]],tblBOM[Line],tblBOM[Needed for])</f>
        <v>Mounting installation start</v>
      </c>
      <c r="E26" s="20">
        <f>_xlfn.XLOOKUP(tblProc[[#This Row],[Needed for]],tblMilestones[Milestone],tblMilestones[Date])</f>
        <v>46289</v>
      </c>
      <c r="F26">
        <f>_xlfn.XLOOKUP(tblProc[[#This Row],[Line]],tblBOM[Line],tblBOM[Lead time (days)])</f>
        <v>7</v>
      </c>
      <c r="G26" s="20">
        <f>WORKDAY.INTL(tblProc[[#This Row],[Required on site]],-(tblProc[[#This Row],[Lead time (days)]]+$D$7),11)</f>
        <v>46277</v>
      </c>
      <c r="H26" s="21">
        <v>46276</v>
      </c>
      <c r="I26" s="20">
        <f>IF(tblProc[[#This Row],[PO date]]="","",WORKDAY.INTL(tblProc[[#This Row],[PO date]],tblProc[[#This Row],[Lead time (days)]],11))</f>
        <v>46284</v>
      </c>
      <c r="J26" s="21">
        <v>46284</v>
      </c>
      <c r="K26" s="23">
        <f>IF(tblProc[[#This Row],[PO date]]="",tblProc[[#This Row],[Order by]]-$D$6,tblProc[[#This Row],[Required on site]]-tblProc[[#This Row],[Expected delivery]])</f>
        <v>5</v>
      </c>
      <c r="L26" s="22" t="str">
        <f>IF(tblProc[[#This Row],[Delivered]]&lt;&gt;"","Delivered",IF(tblProc[[#This Row],[PO date]]="",IF($D$6&gt;tblProc[[#This Row],[Order by]],"Order overdue",IF(tblProc[[#This Row],[Order by]]-$D$6&lt;=3,"Order due","Not yet due")),IF(tblProc[[#This Row],[Expected delivery]]&gt;tblProc[[#This Row],[Required on site]],"Late delivery","On order")))</f>
        <v>Delivered</v>
      </c>
    </row>
    <row r="27" spans="2:12" x14ac:dyDescent="0.3">
      <c r="B27">
        <v>7</v>
      </c>
      <c r="C27" t="str">
        <f>_xlfn.XLOOKUP(tblProc[[#This Row],[Line]],tblBOM[Line],tblBOM[Item])</f>
        <v>DC solar cable 6 mm2 (red and black)</v>
      </c>
      <c r="D27" t="str">
        <f>_xlfn.XLOOKUP(tblProc[[#This Row],[Line]],tblBOM[Line],tblBOM[Needed for])</f>
        <v>Module installation start</v>
      </c>
      <c r="E27" s="20">
        <f>_xlfn.XLOOKUP(tblProc[[#This Row],[Needed for]],tblMilestones[Milestone],tblMilestones[Date])</f>
        <v>46294</v>
      </c>
      <c r="F27">
        <f>_xlfn.XLOOKUP(tblProc[[#This Row],[Line]],tblBOM[Line],tblBOM[Lead time (days)])</f>
        <v>4</v>
      </c>
      <c r="G27" s="20">
        <f>WORKDAY.INTL(tblProc[[#This Row],[Required on site]],-(tblProc[[#This Row],[Lead time (days)]]+$D$7),11)</f>
        <v>46286</v>
      </c>
      <c r="H27" s="21"/>
      <c r="I27" s="20" t="str">
        <f>IF(tblProc[[#This Row],[PO date]]="","",WORKDAY.INTL(tblProc[[#This Row],[PO date]],tblProc[[#This Row],[Lead time (days)]],11))</f>
        <v/>
      </c>
      <c r="J27" s="21"/>
      <c r="K27" s="23">
        <f>IF(tblProc[[#This Row],[PO date]]="",tblProc[[#This Row],[Order by]]-$D$6,tblProc[[#This Row],[Required on site]]-tblProc[[#This Row],[Expected delivery]])</f>
        <v>0</v>
      </c>
      <c r="L27" s="22" t="str">
        <f>IF(tblProc[[#This Row],[Delivered]]&lt;&gt;"","Delivered",IF(tblProc[[#This Row],[PO date]]="",IF($D$6&gt;tblProc[[#This Row],[Order by]],"Order overdue",IF(tblProc[[#This Row],[Order by]]-$D$6&lt;=3,"Order due","Not yet due")),IF(tblProc[[#This Row],[Expected delivery]]&gt;tblProc[[#This Row],[Required on site]],"Late delivery","On order")))</f>
        <v>Order due</v>
      </c>
    </row>
    <row r="28" spans="2:12" x14ac:dyDescent="0.3">
      <c r="B28">
        <v>8</v>
      </c>
      <c r="C28" t="str">
        <f>_xlfn.XLOOKUP(tblProc[[#This Row],[Line]],tblBOM[Line],tblBOM[Item])</f>
        <v>MC4 connector pair</v>
      </c>
      <c r="D28" t="str">
        <f>_xlfn.XLOOKUP(tblProc[[#This Row],[Line]],tblBOM[Line],tblBOM[Needed for])</f>
        <v>Module installation start</v>
      </c>
      <c r="E28" s="20">
        <f>_xlfn.XLOOKUP(tblProc[[#This Row],[Needed for]],tblMilestones[Milestone],tblMilestones[Date])</f>
        <v>46294</v>
      </c>
      <c r="F28">
        <f>_xlfn.XLOOKUP(tblProc[[#This Row],[Line]],tblBOM[Line],tblBOM[Lead time (days)])</f>
        <v>4</v>
      </c>
      <c r="G28" s="20">
        <f>WORKDAY.INTL(tblProc[[#This Row],[Required on site]],-(tblProc[[#This Row],[Lead time (days)]]+$D$7),11)</f>
        <v>46286</v>
      </c>
      <c r="H28" s="21"/>
      <c r="I28" s="20" t="str">
        <f>IF(tblProc[[#This Row],[PO date]]="","",WORKDAY.INTL(tblProc[[#This Row],[PO date]],tblProc[[#This Row],[Lead time (days)]],11))</f>
        <v/>
      </c>
      <c r="J28" s="21"/>
      <c r="K28" s="23">
        <f>IF(tblProc[[#This Row],[PO date]]="",tblProc[[#This Row],[Order by]]-$D$6,tblProc[[#This Row],[Required on site]]-tblProc[[#This Row],[Expected delivery]])</f>
        <v>0</v>
      </c>
      <c r="L28" s="22" t="str">
        <f>IF(tblProc[[#This Row],[Delivered]]&lt;&gt;"","Delivered",IF(tblProc[[#This Row],[PO date]]="",IF($D$6&gt;tblProc[[#This Row],[Order by]],"Order overdue",IF(tblProc[[#This Row],[Order by]]-$D$6&lt;=3,"Order due","Not yet due")),IF(tblProc[[#This Row],[Expected delivery]]&gt;tblProc[[#This Row],[Required on site]],"Late delivery","On order")))</f>
        <v>Order due</v>
      </c>
    </row>
    <row r="29" spans="2:12" x14ac:dyDescent="0.3">
      <c r="B29">
        <v>9</v>
      </c>
      <c r="C29" t="str">
        <f>_xlfn.XLOOKUP(tblProc[[#This Row],[Line]],tblBOM[Line],tblBOM[Item])</f>
        <v>Cable tray, galvanised</v>
      </c>
      <c r="D29" t="str">
        <f>_xlfn.XLOOKUP(tblProc[[#This Row],[Line]],tblBOM[Line],tblBOM[Needed for])</f>
        <v>Electrical installation start</v>
      </c>
      <c r="E29" s="20">
        <f>_xlfn.XLOOKUP(tblProc[[#This Row],[Needed for]],tblMilestones[Milestone],tblMilestones[Date])</f>
        <v>46296</v>
      </c>
      <c r="F29">
        <f>_xlfn.XLOOKUP(tblProc[[#This Row],[Line]],tblBOM[Line],tblBOM[Lead time (days)])</f>
        <v>5</v>
      </c>
      <c r="G29" s="20">
        <f>WORKDAY.INTL(tblProc[[#This Row],[Required on site]],-(tblProc[[#This Row],[Lead time (days)]]+$D$7),11)</f>
        <v>46287</v>
      </c>
      <c r="H29" s="21"/>
      <c r="I29" s="20" t="str">
        <f>IF(tblProc[[#This Row],[PO date]]="","",WORKDAY.INTL(tblProc[[#This Row],[PO date]],tblProc[[#This Row],[Lead time (days)]],11))</f>
        <v/>
      </c>
      <c r="J29" s="21"/>
      <c r="K29" s="23">
        <f>IF(tblProc[[#This Row],[PO date]]="",tblProc[[#This Row],[Order by]]-$D$6,tblProc[[#This Row],[Required on site]]-tblProc[[#This Row],[Expected delivery]])</f>
        <v>1</v>
      </c>
      <c r="L29" s="22" t="str">
        <f>IF(tblProc[[#This Row],[Delivered]]&lt;&gt;"","Delivered",IF(tblProc[[#This Row],[PO date]]="",IF($D$6&gt;tblProc[[#This Row],[Order by]],"Order overdue",IF(tblProc[[#This Row],[Order by]]-$D$6&lt;=3,"Order due","Not yet due")),IF(tblProc[[#This Row],[Expected delivery]]&gt;tblProc[[#This Row],[Required on site]],"Late delivery","On order")))</f>
        <v>Order due</v>
      </c>
    </row>
    <row r="30" spans="2:12" x14ac:dyDescent="0.3">
      <c r="B30">
        <v>10</v>
      </c>
      <c r="C30" t="str">
        <f>_xlfn.XLOOKUP(tblProc[[#This Row],[Line]],tblBOM[Line],tblBOM[Item])</f>
        <v>AC cable, 4-core 70 mm2 Cu armoured</v>
      </c>
      <c r="D30" t="str">
        <f>_xlfn.XLOOKUP(tblProc[[#This Row],[Line]],tblBOM[Line],tblBOM[Needed for])</f>
        <v>Electrical installation start</v>
      </c>
      <c r="E30" s="20">
        <f>_xlfn.XLOOKUP(tblProc[[#This Row],[Needed for]],tblMilestones[Milestone],tblMilestones[Date])</f>
        <v>46296</v>
      </c>
      <c r="F30">
        <f>_xlfn.XLOOKUP(tblProc[[#This Row],[Line]],tblBOM[Line],tblBOM[Lead time (days)])</f>
        <v>6</v>
      </c>
      <c r="G30" s="20">
        <f>WORKDAY.INTL(tblProc[[#This Row],[Required on site]],-(tblProc[[#This Row],[Lead time (days)]]+$D$7),11)</f>
        <v>46286</v>
      </c>
      <c r="H30" s="21">
        <v>46284</v>
      </c>
      <c r="I30" s="20">
        <f>IF(tblProc[[#This Row],[PO date]]="","",WORKDAY.INTL(tblProc[[#This Row],[PO date]],tblProc[[#This Row],[Lead time (days)]],11))</f>
        <v>46291</v>
      </c>
      <c r="J30" s="21"/>
      <c r="K30" s="23">
        <f>IF(tblProc[[#This Row],[PO date]]="",tblProc[[#This Row],[Order by]]-$D$6,tblProc[[#This Row],[Required on site]]-tblProc[[#This Row],[Expected delivery]])</f>
        <v>5</v>
      </c>
      <c r="L30" s="22" t="str">
        <f>IF(tblProc[[#This Row],[Delivered]]&lt;&gt;"","Delivered",IF(tblProc[[#This Row],[PO date]]="",IF($D$6&gt;tblProc[[#This Row],[Order by]],"Order overdue",IF(tblProc[[#This Row],[Order by]]-$D$6&lt;=3,"Order due","Not yet due")),IF(tblProc[[#This Row],[Expected delivery]]&gt;tblProc[[#This Row],[Required on site]],"Late delivery","On order")))</f>
        <v>On order</v>
      </c>
    </row>
    <row r="31" spans="2:12" x14ac:dyDescent="0.3">
      <c r="B31">
        <v>11</v>
      </c>
      <c r="C31" t="str">
        <f>_xlfn.XLOOKUP(tblProc[[#This Row],[Line]],tblBOM[Line],tblBOM[Item])</f>
        <v>MCCB 4-pole 200 A</v>
      </c>
      <c r="D31" t="str">
        <f>_xlfn.XLOOKUP(tblProc[[#This Row],[Line]],tblBOM[Line],tblBOM[Needed for])</f>
        <v>Electrical installation start</v>
      </c>
      <c r="E31" s="20">
        <f>_xlfn.XLOOKUP(tblProc[[#This Row],[Needed for]],tblMilestones[Milestone],tblMilestones[Date])</f>
        <v>46296</v>
      </c>
      <c r="F31">
        <f>_xlfn.XLOOKUP(tblProc[[#This Row],[Line]],tblBOM[Line],tblBOM[Lead time (days)])</f>
        <v>7</v>
      </c>
      <c r="G31" s="20">
        <f>WORKDAY.INTL(tblProc[[#This Row],[Required on site]],-(tblProc[[#This Row],[Lead time (days)]]+$D$7),11)</f>
        <v>46284</v>
      </c>
      <c r="H31" s="21"/>
      <c r="I31" s="20" t="str">
        <f>IF(tblProc[[#This Row],[PO date]]="","",WORKDAY.INTL(tblProc[[#This Row],[PO date]],tblProc[[#This Row],[Lead time (days)]],11))</f>
        <v/>
      </c>
      <c r="J31" s="21"/>
      <c r="K31" s="23">
        <f>IF(tblProc[[#This Row],[PO date]]="",tblProc[[#This Row],[Order by]]-$D$6,tblProc[[#This Row],[Required on site]]-tblProc[[#This Row],[Expected delivery]])</f>
        <v>-2</v>
      </c>
      <c r="L31" s="22" t="str">
        <f>IF(tblProc[[#This Row],[Delivered]]&lt;&gt;"","Delivered",IF(tblProc[[#This Row],[PO date]]="",IF($D$6&gt;tblProc[[#This Row],[Order by]],"Order overdue",IF(tblProc[[#This Row],[Order by]]-$D$6&lt;=3,"Order due","Not yet due")),IF(tblProc[[#This Row],[Expected delivery]]&gt;tblProc[[#This Row],[Required on site]],"Late delivery","On order")))</f>
        <v>Order overdue</v>
      </c>
    </row>
    <row r="32" spans="2:12" x14ac:dyDescent="0.3">
      <c r="B32">
        <v>12</v>
      </c>
      <c r="C32" t="str">
        <f>_xlfn.XLOOKUP(tblProc[[#This Row],[Line]],tblBOM[Line],tblBOM[Item])</f>
        <v>Surge protection device, Type 2</v>
      </c>
      <c r="D32" t="str">
        <f>_xlfn.XLOOKUP(tblProc[[#This Row],[Line]],tblBOM[Line],tblBOM[Needed for])</f>
        <v>Electrical installation start</v>
      </c>
      <c r="E32" s="20">
        <f>_xlfn.XLOOKUP(tblProc[[#This Row],[Needed for]],tblMilestones[Milestone],tblMilestones[Date])</f>
        <v>46296</v>
      </c>
      <c r="F32">
        <f>_xlfn.XLOOKUP(tblProc[[#This Row],[Line]],tblBOM[Line],tblBOM[Lead time (days)])</f>
        <v>7</v>
      </c>
      <c r="G32" s="20">
        <f>WORKDAY.INTL(tblProc[[#This Row],[Required on site]],-(tblProc[[#This Row],[Lead time (days)]]+$D$7),11)</f>
        <v>46284</v>
      </c>
      <c r="H32" s="21">
        <v>46283</v>
      </c>
      <c r="I32" s="20">
        <f>IF(tblProc[[#This Row],[PO date]]="","",WORKDAY.INTL(tblProc[[#This Row],[PO date]],tblProc[[#This Row],[Lead time (days)]],11))</f>
        <v>46291</v>
      </c>
      <c r="J32" s="21"/>
      <c r="K32" s="23">
        <f>IF(tblProc[[#This Row],[PO date]]="",tblProc[[#This Row],[Order by]]-$D$6,tblProc[[#This Row],[Required on site]]-tblProc[[#This Row],[Expected delivery]])</f>
        <v>5</v>
      </c>
      <c r="L32" s="22" t="str">
        <f>IF(tblProc[[#This Row],[Delivered]]&lt;&gt;"","Delivered",IF(tblProc[[#This Row],[PO date]]="",IF($D$6&gt;tblProc[[#This Row],[Order by]],"Order overdue",IF(tblProc[[#This Row],[Order by]]-$D$6&lt;=3,"Order due","Not yet due")),IF(tblProc[[#This Row],[Expected delivery]]&gt;tblProc[[#This Row],[Required on site]],"Late delivery","On order")))</f>
        <v>On order</v>
      </c>
    </row>
    <row r="33" spans="2:12" x14ac:dyDescent="0.3">
      <c r="B33">
        <v>13</v>
      </c>
      <c r="C33" t="str">
        <f>_xlfn.XLOOKUP(tblProc[[#This Row],[Line]],tblBOM[Line],tblBOM[Item])</f>
        <v>Earthing (2 earth pits and 60 m cable)</v>
      </c>
      <c r="D33" t="str">
        <f>_xlfn.XLOOKUP(tblProc[[#This Row],[Line]],tblBOM[Line],tblBOM[Needed for])</f>
        <v>Mounting installation start</v>
      </c>
      <c r="E33" s="20">
        <f>_xlfn.XLOOKUP(tblProc[[#This Row],[Needed for]],tblMilestones[Milestone],tblMilestones[Date])</f>
        <v>46289</v>
      </c>
      <c r="F33">
        <f>_xlfn.XLOOKUP(tblProc[[#This Row],[Line]],tblBOM[Line],tblBOM[Lead time (days)])</f>
        <v>3</v>
      </c>
      <c r="G33" s="20">
        <f>WORKDAY.INTL(tblProc[[#This Row],[Required on site]],-(tblProc[[#This Row],[Lead time (days)]]+$D$7),11)</f>
        <v>46282</v>
      </c>
      <c r="H33" s="21">
        <v>46281</v>
      </c>
      <c r="I33" s="20">
        <f>IF(tblProc[[#This Row],[PO date]]="","",WORKDAY.INTL(tblProc[[#This Row],[PO date]],tblProc[[#This Row],[Lead time (days)]],11))</f>
        <v>46284</v>
      </c>
      <c r="J33" s="21">
        <v>46284</v>
      </c>
      <c r="K33" s="23">
        <f>IF(tblProc[[#This Row],[PO date]]="",tblProc[[#This Row],[Order by]]-$D$6,tblProc[[#This Row],[Required on site]]-tblProc[[#This Row],[Expected delivery]])</f>
        <v>5</v>
      </c>
      <c r="L33" s="22" t="str">
        <f>IF(tblProc[[#This Row],[Delivered]]&lt;&gt;"","Delivered",IF(tblProc[[#This Row],[PO date]]="",IF($D$6&gt;tblProc[[#This Row],[Order by]],"Order overdue",IF(tblProc[[#This Row],[Order by]]-$D$6&lt;=3,"Order due","Not yet due")),IF(tblProc[[#This Row],[Expected delivery]]&gt;tblProc[[#This Row],[Required on site]],"Late delivery","On order")))</f>
        <v>Delivered</v>
      </c>
    </row>
    <row r="34" spans="2:12" x14ac:dyDescent="0.3">
      <c r="B34">
        <v>14</v>
      </c>
      <c r="C34" t="str">
        <f>_xlfn.XLOOKUP(tblProc[[#This Row],[Line]],tblBOM[Line],tblBOM[Item])</f>
        <v>Installation crew</v>
      </c>
      <c r="D34" t="str">
        <f>_xlfn.XLOOKUP(tblProc[[#This Row],[Line]],tblBOM[Line],tblBOM[Needed for])</f>
        <v>Mounting installation start</v>
      </c>
      <c r="E34" s="20">
        <f>_xlfn.XLOOKUP(tblProc[[#This Row],[Needed for]],tblMilestones[Milestone],tblMilestones[Date])</f>
        <v>46289</v>
      </c>
      <c r="F34">
        <f>_xlfn.XLOOKUP(tblProc[[#This Row],[Line]],tblBOM[Line],tblBOM[Lead time (days)])</f>
        <v>5</v>
      </c>
      <c r="G34" s="20">
        <f>WORKDAY.INTL(tblProc[[#This Row],[Required on site]],-(tblProc[[#This Row],[Lead time (days)]]+$D$7),11)</f>
        <v>46280</v>
      </c>
      <c r="H34" s="21">
        <v>46279</v>
      </c>
      <c r="I34" s="20">
        <f>IF(tblProc[[#This Row],[PO date]]="","",WORKDAY.INTL(tblProc[[#This Row],[PO date]],tblProc[[#This Row],[Lead time (days)]],11))</f>
        <v>46284</v>
      </c>
      <c r="J34" s="21"/>
      <c r="K34" s="23">
        <f>IF(tblProc[[#This Row],[PO date]]="",tblProc[[#This Row],[Order by]]-$D$6,tblProc[[#This Row],[Required on site]]-tblProc[[#This Row],[Expected delivery]])</f>
        <v>5</v>
      </c>
      <c r="L34" s="22" t="str">
        <f>IF(tblProc[[#This Row],[Delivered]]&lt;&gt;"","Delivered",IF(tblProc[[#This Row],[PO date]]="",IF($D$6&gt;tblProc[[#This Row],[Order by]],"Order overdue",IF(tblProc[[#This Row],[Order by]]-$D$6&lt;=3,"Order due","Not yet due")),IF(tblProc[[#This Row],[Expected delivery]]&gt;tblProc[[#This Row],[Required on site]],"Late delivery","On order")))</f>
        <v>On order</v>
      </c>
    </row>
    <row r="35" spans="2:12" x14ac:dyDescent="0.3">
      <c r="B35">
        <v>15</v>
      </c>
      <c r="C35" t="str">
        <f>_xlfn.XLOOKUP(tblProc[[#This Row],[Line]],tblBOM[Line],tblBOM[Item])</f>
        <v>Electrical crew</v>
      </c>
      <c r="D35" t="str">
        <f>_xlfn.XLOOKUP(tblProc[[#This Row],[Line]],tblBOM[Line],tblBOM[Needed for])</f>
        <v>Electrical installation start</v>
      </c>
      <c r="E35" s="20">
        <f>_xlfn.XLOOKUP(tblProc[[#This Row],[Needed for]],tblMilestones[Milestone],tblMilestones[Date])</f>
        <v>46296</v>
      </c>
      <c r="F35">
        <f>_xlfn.XLOOKUP(tblProc[[#This Row],[Line]],tblBOM[Line],tblBOM[Lead time (days)])</f>
        <v>5</v>
      </c>
      <c r="G35" s="20">
        <f>WORKDAY.INTL(tblProc[[#This Row],[Required on site]],-(tblProc[[#This Row],[Lead time (days)]]+$D$7),11)</f>
        <v>46287</v>
      </c>
      <c r="H35" s="21"/>
      <c r="I35" s="20" t="str">
        <f>IF(tblProc[[#This Row],[PO date]]="","",WORKDAY.INTL(tblProc[[#This Row],[PO date]],tblProc[[#This Row],[Lead time (days)]],11))</f>
        <v/>
      </c>
      <c r="J35" s="21"/>
      <c r="K35" s="23">
        <f>IF(tblProc[[#This Row],[PO date]]="",tblProc[[#This Row],[Order by]]-$D$6,tblProc[[#This Row],[Required on site]]-tblProc[[#This Row],[Expected delivery]])</f>
        <v>1</v>
      </c>
      <c r="L35" s="22" t="str">
        <f>IF(tblProc[[#This Row],[Delivered]]&lt;&gt;"","Delivered",IF(tblProc[[#This Row],[PO date]]="",IF($D$6&gt;tblProc[[#This Row],[Order by]],"Order overdue",IF(tblProc[[#This Row],[Order by]]-$D$6&lt;=3,"Order due","Not yet due")),IF(tblProc[[#This Row],[Expected delivery]]&gt;tblProc[[#This Row],[Required on site]],"Late delivery","On order")))</f>
        <v>Order due</v>
      </c>
    </row>
    <row r="36" spans="2:12" x14ac:dyDescent="0.3">
      <c r="B36">
        <v>16</v>
      </c>
      <c r="C36" t="str">
        <f>_xlfn.XLOOKUP(tblProc[[#This Row],[Line]],tblBOM[Line],tblBOM[Item])</f>
        <v>Transport and lifting</v>
      </c>
      <c r="D36" t="str">
        <f>_xlfn.XLOOKUP(tblProc[[#This Row],[Line]],tblBOM[Line],tblBOM[Needed for])</f>
        <v>Mobilisation</v>
      </c>
      <c r="E36" s="20">
        <f>_xlfn.XLOOKUP(tblProc[[#This Row],[Needed for]],tblMilestones[Milestone],tblMilestones[Date])</f>
        <v>46288</v>
      </c>
      <c r="F36">
        <f>_xlfn.XLOOKUP(tblProc[[#This Row],[Line]],tblBOM[Line],tblBOM[Lead time (days)])</f>
        <v>3</v>
      </c>
      <c r="G36" s="20">
        <f>WORKDAY.INTL(tblProc[[#This Row],[Required on site]],-(tblProc[[#This Row],[Lead time (days)]]+$D$7),11)</f>
        <v>46281</v>
      </c>
      <c r="H36" s="21">
        <v>46280</v>
      </c>
      <c r="I36" s="20">
        <f>IF(tblProc[[#This Row],[PO date]]="","",WORKDAY.INTL(tblProc[[#This Row],[PO date]],tblProc[[#This Row],[Lead time (days)]],11))</f>
        <v>46283</v>
      </c>
      <c r="J36" s="21"/>
      <c r="K36" s="23">
        <f>IF(tblProc[[#This Row],[PO date]]="",tblProc[[#This Row],[Order by]]-$D$6,tblProc[[#This Row],[Required on site]]-tblProc[[#This Row],[Expected delivery]])</f>
        <v>5</v>
      </c>
      <c r="L36" s="22" t="str">
        <f>IF(tblProc[[#This Row],[Delivered]]&lt;&gt;"","Delivered",IF(tblProc[[#This Row],[PO date]]="",IF($D$6&gt;tblProc[[#This Row],[Order by]],"Order overdue",IF(tblProc[[#This Row],[Order by]]-$D$6&lt;=3,"Order due","Not yet due")),IF(tblProc[[#This Row],[Expected delivery]]&gt;tblProc[[#This Row],[Required on site]],"Late delivery","On order")))</f>
        <v>On order</v>
      </c>
    </row>
    <row r="37" spans="2:12" x14ac:dyDescent="0.3">
      <c r="B37">
        <v>17</v>
      </c>
      <c r="C37" t="str">
        <f>_xlfn.XLOOKUP(tblProc[[#This Row],[Line]],tblBOM[Line],tblBOM[Item])</f>
        <v>Access and safety equipment</v>
      </c>
      <c r="D37" t="str">
        <f>_xlfn.XLOOKUP(tblProc[[#This Row],[Line]],tblBOM[Line],tblBOM[Needed for])</f>
        <v>Mobilisation</v>
      </c>
      <c r="E37" s="20">
        <f>_xlfn.XLOOKUP(tblProc[[#This Row],[Needed for]],tblMilestones[Milestone],tblMilestones[Date])</f>
        <v>46288</v>
      </c>
      <c r="F37">
        <f>_xlfn.XLOOKUP(tblProc[[#This Row],[Line]],tblBOM[Line],tblBOM[Lead time (days)])</f>
        <v>5</v>
      </c>
      <c r="G37" s="20">
        <f>WORKDAY.INTL(tblProc[[#This Row],[Required on site]],-(tblProc[[#This Row],[Lead time (days)]]+$D$7),11)</f>
        <v>46279</v>
      </c>
      <c r="H37" s="21">
        <v>46277</v>
      </c>
      <c r="I37" s="20">
        <f>IF(tblProc[[#This Row],[PO date]]="","",WORKDAY.INTL(tblProc[[#This Row],[PO date]],tblProc[[#This Row],[Lead time (days)]],11))</f>
        <v>46283</v>
      </c>
      <c r="J37" s="21">
        <v>46283</v>
      </c>
      <c r="K37" s="23">
        <f>IF(tblProc[[#This Row],[PO date]]="",tblProc[[#This Row],[Order by]]-$D$6,tblProc[[#This Row],[Required on site]]-tblProc[[#This Row],[Expected delivery]])</f>
        <v>5</v>
      </c>
      <c r="L37" s="22" t="str">
        <f>IF(tblProc[[#This Row],[Delivered]]&lt;&gt;"","Delivered",IF(tblProc[[#This Row],[PO date]]="",IF($D$6&gt;tblProc[[#This Row],[Order by]],"Order overdue",IF(tblProc[[#This Row],[Order by]]-$D$6&lt;=3,"Order due","Not yet due")),IF(tblProc[[#This Row],[Expected delivery]]&gt;tblProc[[#This Row],[Required on site]],"Late delivery","On order")))</f>
        <v>Delivered</v>
      </c>
    </row>
    <row r="38" spans="2:12" x14ac:dyDescent="0.3">
      <c r="B38">
        <v>18</v>
      </c>
      <c r="C38" t="str">
        <f>_xlfn.XLOOKUP(tblProc[[#This Row],[Line]],tblBOM[Line],tblBOM[Item])</f>
        <v>Testing and commissioning</v>
      </c>
      <c r="D38" t="str">
        <f>_xlfn.XLOOKUP(tblProc[[#This Row],[Line]],tblBOM[Line],tblBOM[Needed for])</f>
        <v>Testing and commissioning</v>
      </c>
      <c r="E38" s="20">
        <f>_xlfn.XLOOKUP(tblProc[[#This Row],[Needed for]],tblMilestones[Milestone],tblMilestones[Date])</f>
        <v>46302</v>
      </c>
      <c r="F38">
        <f>_xlfn.XLOOKUP(tblProc[[#This Row],[Line]],tblBOM[Line],tblBOM[Lead time (days)])</f>
        <v>5</v>
      </c>
      <c r="G38" s="20">
        <f>WORKDAY.INTL(tblProc[[#This Row],[Required on site]],-(tblProc[[#This Row],[Lead time (days)]]+$D$7),11)</f>
        <v>46293</v>
      </c>
      <c r="H38" s="21"/>
      <c r="I38" s="20" t="str">
        <f>IF(tblProc[[#This Row],[PO date]]="","",WORKDAY.INTL(tblProc[[#This Row],[PO date]],tblProc[[#This Row],[Lead time (days)]],11))</f>
        <v/>
      </c>
      <c r="J38" s="21"/>
      <c r="K38" s="23">
        <f>IF(tblProc[[#This Row],[PO date]]="",tblProc[[#This Row],[Order by]]-$D$6,tblProc[[#This Row],[Required on site]]-tblProc[[#This Row],[Expected delivery]])</f>
        <v>7</v>
      </c>
      <c r="L38" s="22" t="str">
        <f>IF(tblProc[[#This Row],[Delivered]]&lt;&gt;"","Delivered",IF(tblProc[[#This Row],[PO date]]="",IF($D$6&gt;tblProc[[#This Row],[Order by]],"Order overdue",IF(tblProc[[#This Row],[Order by]]-$D$6&lt;=3,"Order due","Not yet due")),IF(tblProc[[#This Row],[Expected delivery]]&gt;tblProc[[#This Row],[Required on site]],"Late delivery","On order")))</f>
        <v>Not yet due</v>
      </c>
    </row>
    <row r="39" spans="2:12" x14ac:dyDescent="0.3">
      <c r="B39">
        <v>19</v>
      </c>
      <c r="C39" t="str">
        <f>_xlfn.XLOOKUP(tblProc[[#This Row],[Line]],tblBOM[Line],tblBOM[Item])</f>
        <v>Net-metering application and meter</v>
      </c>
      <c r="D39" t="str">
        <f>_xlfn.XLOOKUP(tblProc[[#This Row],[Line]],tblBOM[Line],tblBOM[Needed for])</f>
        <v>Net-metering energisation</v>
      </c>
      <c r="E39" s="20">
        <f>_xlfn.XLOOKUP(tblProc[[#This Row],[Needed for]],tblMilestones[Milestone],tblMilestones[Date])</f>
        <v>46324</v>
      </c>
      <c r="F39">
        <f>_xlfn.XLOOKUP(tblProc[[#This Row],[Line]],tblBOM[Line],tblBOM[Lead time (days)])</f>
        <v>35</v>
      </c>
      <c r="G39" s="20">
        <f>WORKDAY.INTL(tblProc[[#This Row],[Required on site]],-(tblProc[[#This Row],[Lead time (days)]]+$D$7),11)</f>
        <v>46280</v>
      </c>
      <c r="H39" s="21">
        <v>46275</v>
      </c>
      <c r="I39" s="20">
        <f>IF(tblProc[[#This Row],[PO date]]="","",WORKDAY.INTL(tblProc[[#This Row],[PO date]],tblProc[[#This Row],[Lead time (days)]],11))</f>
        <v>46316</v>
      </c>
      <c r="J39" s="21"/>
      <c r="K39" s="23">
        <f>IF(tblProc[[#This Row],[PO date]]="",tblProc[[#This Row],[Order by]]-$D$6,tblProc[[#This Row],[Required on site]]-tblProc[[#This Row],[Expected delivery]])</f>
        <v>8</v>
      </c>
      <c r="L39" s="22" t="str">
        <f>IF(tblProc[[#This Row],[Delivered]]&lt;&gt;"","Delivered",IF(tblProc[[#This Row],[PO date]]="",IF($D$6&gt;tblProc[[#This Row],[Order by]],"Order overdue",IF(tblProc[[#This Row],[Order by]]-$D$6&lt;=3,"Order due","Not yet due")),IF(tblProc[[#This Row],[Expected delivery]]&gt;tblProc[[#This Row],[Required on site]],"Late delivery","On order")))</f>
        <v>On order</v>
      </c>
    </row>
  </sheetData>
  <conditionalFormatting sqref="L21:L39">
    <cfRule type="containsText" dxfId="13" priority="1" stopIfTrue="1" operator="containsText" text="Delivered">
      <formula>NOT(ISERROR(SEARCH("Delivered",L21)))</formula>
    </cfRule>
    <cfRule type="containsText" dxfId="12" priority="2" stopIfTrue="1" operator="containsText" text="On order">
      <formula>NOT(ISERROR(SEARCH("On order",L21)))</formula>
    </cfRule>
    <cfRule type="containsText" dxfId="11" priority="3" stopIfTrue="1" operator="containsText" text="Order due">
      <formula>NOT(ISERROR(SEARCH("Order due",L21)))</formula>
    </cfRule>
    <cfRule type="containsText" dxfId="10" priority="4" stopIfTrue="1" operator="containsText" text="Order overdue">
      <formula>NOT(ISERROR(SEARCH("Order overdue",L21)))</formula>
    </cfRule>
    <cfRule type="containsText" dxfId="9" priority="5" stopIfTrue="1" operator="containsText" text="Late delivery">
      <formula>NOT(ISERROR(SEARCH("Late delivery",L21)))</formula>
    </cfRule>
  </conditionalFormatting>
  <pageMargins left="0.7" right="0.7" top="0.75" bottom="0.75" header="0.3" footer="0.3"/>
  <tableParts count="2">
    <tablePart r:id="rId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F7CDE-CFD8-4B19-BEF7-4893EBC62C61}">
  <dimension ref="B2:P25"/>
  <sheetViews>
    <sheetView zoomScale="87" zoomScaleNormal="87" workbookViewId="0">
      <selection activeCell="M6" sqref="M6"/>
    </sheetView>
  </sheetViews>
  <sheetFormatPr defaultRowHeight="14.4" x14ac:dyDescent="0.3"/>
  <cols>
    <col min="1" max="1" width="2.77734375" customWidth="1"/>
    <col min="2" max="2" width="6.77734375" customWidth="1"/>
    <col min="3" max="3" width="40.77734375" customWidth="1"/>
    <col min="4" max="4" width="22.77734375" customWidth="1"/>
    <col min="5" max="5" width="13.77734375" customWidth="1"/>
    <col min="6" max="6" width="14.77734375" customWidth="1"/>
    <col min="7" max="8" width="13.77734375" customWidth="1"/>
    <col min="9" max="9" width="10.77734375" customWidth="1"/>
    <col min="10" max="11" width="2.77734375" customWidth="1"/>
    <col min="12" max="12" width="22.77734375" customWidth="1"/>
    <col min="13" max="15" width="12.77734375" customWidth="1"/>
    <col min="16" max="16" width="11.77734375" customWidth="1"/>
  </cols>
  <sheetData>
    <row r="2" spans="2:16" ht="28.05" customHeight="1" x14ac:dyDescent="0.45">
      <c r="B2" s="1" t="s">
        <v>95</v>
      </c>
    </row>
    <row r="3" spans="2:16" x14ac:dyDescent="0.3">
      <c r="B3" s="2" t="s">
        <v>96</v>
      </c>
    </row>
    <row r="4" spans="2:16" ht="15.6" x14ac:dyDescent="0.3">
      <c r="B4" s="4" t="s">
        <v>97</v>
      </c>
      <c r="L4" s="4" t="s">
        <v>102</v>
      </c>
    </row>
    <row r="5" spans="2:16" ht="28.8" x14ac:dyDescent="0.3">
      <c r="B5" s="12" t="s">
        <v>19</v>
      </c>
      <c r="C5" s="12" t="s">
        <v>20</v>
      </c>
      <c r="D5" s="12" t="s">
        <v>21</v>
      </c>
      <c r="E5" s="12" t="s">
        <v>25</v>
      </c>
      <c r="F5" s="12" t="s">
        <v>98</v>
      </c>
      <c r="G5" s="12" t="s">
        <v>99</v>
      </c>
      <c r="H5" s="12" t="s">
        <v>100</v>
      </c>
      <c r="I5" s="12" t="s">
        <v>101</v>
      </c>
      <c r="L5" s="29" t="s">
        <v>21</v>
      </c>
      <c r="M5" s="29" t="s">
        <v>103</v>
      </c>
      <c r="N5" s="29" t="s">
        <v>104</v>
      </c>
      <c r="O5" s="29" t="s">
        <v>105</v>
      </c>
      <c r="P5" s="29" t="s">
        <v>106</v>
      </c>
    </row>
    <row r="6" spans="2:16" x14ac:dyDescent="0.3">
      <c r="B6">
        <v>1</v>
      </c>
      <c r="C6" t="str">
        <f>_xlfn.XLOOKUP(tblCost[[#This Row],[Line]],tblBOM[Line],tblBOM[Item])</f>
        <v>PV module, Jinko JKM580N-72HL4-V 580 W</v>
      </c>
      <c r="D6" t="str">
        <f>_xlfn.XLOOKUP(tblCost[[#This Row],[Line]],tblBOM[Line],tblBOM[Category])</f>
        <v>Modules</v>
      </c>
      <c r="E6" s="24">
        <f>_xlfn.XLOOKUP(tblCost[[#This Row],[Line]],tblBOM[Line],tblBOM[Budget (PKR)])</f>
        <v>3100680</v>
      </c>
      <c r="F6" s="26">
        <v>3100680</v>
      </c>
      <c r="G6" s="24">
        <f>IF(tblCost[[#This Row],[Committed (PKR)]]&gt;0,tblCost[[#This Row],[Committed (PKR)]],tblCost[[#This Row],[Budget (PKR)]])</f>
        <v>3100680</v>
      </c>
      <c r="H6" s="24">
        <f>tblCost[[#This Row],[Budget (PKR)]]-tblCost[[#This Row],[Forecast (PKR)]]</f>
        <v>0</v>
      </c>
      <c r="I6" s="25">
        <f>IF(tblCost[[#This Row],[Budget (PKR)]]=0,0,tblCost[[#This Row],[Variance (PKR)]]/tblCost[[#This Row],[Budget (PKR)]])</f>
        <v>0</v>
      </c>
      <c r="L6" s="30" t="s">
        <v>30</v>
      </c>
      <c r="M6" s="31">
        <f>SUMIFS(tblCost[Budget (PKR)],tblCost[Category],L6)</f>
        <v>3100680</v>
      </c>
      <c r="N6" s="31">
        <f>SUMIFS(tblCost[Committed (PKR)],tblCost[Category],L6)</f>
        <v>3100680</v>
      </c>
      <c r="O6" s="31">
        <f>SUMIFS(tblCost[Forecast (PKR)],tblCost[Category],L6)</f>
        <v>3100680</v>
      </c>
      <c r="P6" s="31">
        <f>M6-O6</f>
        <v>0</v>
      </c>
    </row>
    <row r="7" spans="2:16" x14ac:dyDescent="0.3">
      <c r="B7">
        <v>2</v>
      </c>
      <c r="C7" t="str">
        <f>_xlfn.XLOOKUP(tblCost[[#This Row],[Line]],tblBOM[Line],tblBOM[Item])</f>
        <v>Inverter, Huawei SUN2000-100KTL-M2</v>
      </c>
      <c r="D7" t="str">
        <f>_xlfn.XLOOKUP(tblCost[[#This Row],[Line]],tblBOM[Line],tblBOM[Category])</f>
        <v>Inverter and monitoring</v>
      </c>
      <c r="E7" s="24">
        <f>_xlfn.XLOOKUP(tblCost[[#This Row],[Line]],tblBOM[Line],tblBOM[Budget (PKR)])</f>
        <v>1450000</v>
      </c>
      <c r="F7" s="26">
        <v>1450000</v>
      </c>
      <c r="G7" s="24">
        <f>IF(tblCost[[#This Row],[Committed (PKR)]]&gt;0,tblCost[[#This Row],[Committed (PKR)]],tblCost[[#This Row],[Budget (PKR)]])</f>
        <v>1450000</v>
      </c>
      <c r="H7" s="24">
        <f>tblCost[[#This Row],[Budget (PKR)]]-tblCost[[#This Row],[Forecast (PKR)]]</f>
        <v>0</v>
      </c>
      <c r="I7" s="25">
        <f>IF(tblCost[[#This Row],[Budget (PKR)]]=0,0,tblCost[[#This Row],[Variance (PKR)]]/tblCost[[#This Row],[Budget (PKR)]])</f>
        <v>0</v>
      </c>
      <c r="L7" s="32" t="s">
        <v>35</v>
      </c>
      <c r="M7" s="33">
        <f>SUMIFS(tblCost[Budget (PKR)],tblCost[Category],L7)</f>
        <v>1492000</v>
      </c>
      <c r="N7" s="33">
        <f>SUMIFS(tblCost[Committed (PKR)],tblCost[Category],L7)</f>
        <v>1492000</v>
      </c>
      <c r="O7" s="33">
        <f>SUMIFS(tblCost[Forecast (PKR)],tblCost[Category],L7)</f>
        <v>1492000</v>
      </c>
      <c r="P7" s="33">
        <f>M7-O7</f>
        <v>0</v>
      </c>
    </row>
    <row r="8" spans="2:16" x14ac:dyDescent="0.3">
      <c r="B8">
        <v>3</v>
      </c>
      <c r="C8" t="str">
        <f>_xlfn.XLOOKUP(tblCost[[#This Row],[Line]],tblBOM[Line],tblBOM[Item])</f>
        <v>Monitoring dongle (4G)</v>
      </c>
      <c r="D8" t="str">
        <f>_xlfn.XLOOKUP(tblCost[[#This Row],[Line]],tblBOM[Line],tblBOM[Category])</f>
        <v>Inverter and monitoring</v>
      </c>
      <c r="E8" s="24">
        <f>_xlfn.XLOOKUP(tblCost[[#This Row],[Line]],tblBOM[Line],tblBOM[Budget (PKR)])</f>
        <v>42000</v>
      </c>
      <c r="F8" s="26">
        <v>42000</v>
      </c>
      <c r="G8" s="24">
        <f>IF(tblCost[[#This Row],[Committed (PKR)]]&gt;0,tblCost[[#This Row],[Committed (PKR)]],tblCost[[#This Row],[Budget (PKR)]])</f>
        <v>42000</v>
      </c>
      <c r="H8" s="24">
        <f>tblCost[[#This Row],[Budget (PKR)]]-tblCost[[#This Row],[Forecast (PKR)]]</f>
        <v>0</v>
      </c>
      <c r="I8" s="25">
        <f>IF(tblCost[[#This Row],[Budget (PKR)]]=0,0,tblCost[[#This Row],[Variance (PKR)]]/tblCost[[#This Row],[Budget (PKR)]])</f>
        <v>0</v>
      </c>
      <c r="L8" s="32" t="s">
        <v>40</v>
      </c>
      <c r="M8" s="33">
        <f>SUMIFS(tblCost[Budget (PKR)],tblCost[Category],L8)</f>
        <v>808060</v>
      </c>
      <c r="N8" s="33">
        <f>SUMIFS(tblCost[Committed (PKR)],tblCost[Category],L8)</f>
        <v>856600</v>
      </c>
      <c r="O8" s="33">
        <f>SUMIFS(tblCost[Forecast (PKR)],tblCost[Category],L8)</f>
        <v>856600</v>
      </c>
      <c r="P8" s="33">
        <f>M8-O8</f>
        <v>-48540</v>
      </c>
    </row>
    <row r="9" spans="2:16" x14ac:dyDescent="0.3">
      <c r="B9">
        <v>4</v>
      </c>
      <c r="C9" t="str">
        <f>_xlfn.XLOOKUP(tblCost[[#This Row],[Line]],tblBOM[Line],tblBOM[Item])</f>
        <v>Mounting rail, 4.2 m</v>
      </c>
      <c r="D9" t="str">
        <f>_xlfn.XLOOKUP(tblCost[[#This Row],[Line]],tblBOM[Line],tblBOM[Category])</f>
        <v>Mounting</v>
      </c>
      <c r="E9" s="24">
        <f>_xlfn.XLOOKUP(tblCost[[#This Row],[Line]],tblBOM[Line],tblBOM[Budget (PKR)])</f>
        <v>528000</v>
      </c>
      <c r="F9" s="26">
        <v>559700</v>
      </c>
      <c r="G9" s="24">
        <f>IF(tblCost[[#This Row],[Committed (PKR)]]&gt;0,tblCost[[#This Row],[Committed (PKR)]],tblCost[[#This Row],[Budget (PKR)]])</f>
        <v>559700</v>
      </c>
      <c r="H9" s="24">
        <f>tblCost[[#This Row],[Budget (PKR)]]-tblCost[[#This Row],[Forecast (PKR)]]</f>
        <v>-31700</v>
      </c>
      <c r="I9" s="25">
        <f>IF(tblCost[[#This Row],[Budget (PKR)]]=0,0,tblCost[[#This Row],[Variance (PKR)]]/tblCost[[#This Row],[Budget (PKR)]])</f>
        <v>-6.0037878787878786E-2</v>
      </c>
      <c r="L9" s="32" t="s">
        <v>46</v>
      </c>
      <c r="M9" s="33">
        <f>SUMIFS(tblCost[Budget (PKR)],tblCost[Category],L9)</f>
        <v>368430</v>
      </c>
      <c r="N9" s="33">
        <f>SUMIFS(tblCost[Committed (PKR)],tblCost[Category],L9)</f>
        <v>0</v>
      </c>
      <c r="O9" s="33">
        <f>SUMIFS(tblCost[Forecast (PKR)],tblCost[Category],L9)</f>
        <v>368430</v>
      </c>
      <c r="P9" s="33">
        <f>M9-O9</f>
        <v>0</v>
      </c>
    </row>
    <row r="10" spans="2:16" x14ac:dyDescent="0.3">
      <c r="B10">
        <v>5</v>
      </c>
      <c r="C10" t="str">
        <f>_xlfn.XLOOKUP(tblCost[[#This Row],[Line]],tblBOM[Line],tblBOM[Item])</f>
        <v>Module clamps (mid and end)</v>
      </c>
      <c r="D10" t="str">
        <f>_xlfn.XLOOKUP(tblCost[[#This Row],[Line]],tblBOM[Line],tblBOM[Category])</f>
        <v>Mounting</v>
      </c>
      <c r="E10" s="24">
        <f>_xlfn.XLOOKUP(tblCost[[#This Row],[Line]],tblBOM[Line],tblBOM[Budget (PKR)])</f>
        <v>91960</v>
      </c>
      <c r="F10" s="26">
        <v>97500</v>
      </c>
      <c r="G10" s="24">
        <f>IF(tblCost[[#This Row],[Committed (PKR)]]&gt;0,tblCost[[#This Row],[Committed (PKR)]],tblCost[[#This Row],[Budget (PKR)]])</f>
        <v>97500</v>
      </c>
      <c r="H10" s="24">
        <f>tblCost[[#This Row],[Budget (PKR)]]-tblCost[[#This Row],[Forecast (PKR)]]</f>
        <v>-5540</v>
      </c>
      <c r="I10" s="25">
        <f>IF(tblCost[[#This Row],[Budget (PKR)]]=0,0,tblCost[[#This Row],[Variance (PKR)]]/tblCost[[#This Row],[Budget (PKR)]])</f>
        <v>-6.0243584167029143E-2</v>
      </c>
      <c r="L10" s="32" t="s">
        <v>53</v>
      </c>
      <c r="M10" s="33">
        <f>SUMIFS(tblCost[Budget (PKR)],tblCost[Category],L10)</f>
        <v>393500</v>
      </c>
      <c r="N10" s="33">
        <f>SUMIFS(tblCost[Committed (PKR)],tblCost[Category],L10)</f>
        <v>297300</v>
      </c>
      <c r="O10" s="33">
        <f>SUMIFS(tblCost[Forecast (PKR)],tblCost[Category],L10)</f>
        <v>382300</v>
      </c>
      <c r="P10" s="33">
        <f>M10-O10</f>
        <v>11200</v>
      </c>
    </row>
    <row r="11" spans="2:16" x14ac:dyDescent="0.3">
      <c r="B11">
        <v>6</v>
      </c>
      <c r="C11" t="str">
        <f>_xlfn.XLOOKUP(tblCost[[#This Row],[Line]],tblBOM[Line],tblBOM[Item])</f>
        <v>Roof attachment (L-foot with fixings)</v>
      </c>
      <c r="D11" t="str">
        <f>_xlfn.XLOOKUP(tblCost[[#This Row],[Line]],tblBOM[Line],tblBOM[Category])</f>
        <v>Mounting</v>
      </c>
      <c r="E11" s="24">
        <f>_xlfn.XLOOKUP(tblCost[[#This Row],[Line]],tblBOM[Line],tblBOM[Budget (PKR)])</f>
        <v>188100</v>
      </c>
      <c r="F11" s="26">
        <v>199400</v>
      </c>
      <c r="G11" s="24">
        <f>IF(tblCost[[#This Row],[Committed (PKR)]]&gt;0,tblCost[[#This Row],[Committed (PKR)]],tblCost[[#This Row],[Budget (PKR)]])</f>
        <v>199400</v>
      </c>
      <c r="H11" s="24">
        <f>tblCost[[#This Row],[Budget (PKR)]]-tblCost[[#This Row],[Forecast (PKR)]]</f>
        <v>-11300</v>
      </c>
      <c r="I11" s="25">
        <f>IF(tblCost[[#This Row],[Budget (PKR)]]=0,0,tblCost[[#This Row],[Variance (PKR)]]/tblCost[[#This Row],[Budget (PKR)]])</f>
        <v>-6.0074428495481128E-2</v>
      </c>
      <c r="L11" s="32" t="s">
        <v>57</v>
      </c>
      <c r="M11" s="33">
        <f>SUMIFS(tblCost[Budget (PKR)],tblCost[Category],L11)</f>
        <v>104000</v>
      </c>
      <c r="N11" s="33">
        <f>SUMIFS(tblCost[Committed (PKR)],tblCost[Category],L11)</f>
        <v>104000</v>
      </c>
      <c r="O11" s="33">
        <f>SUMIFS(tblCost[Forecast (PKR)],tblCost[Category],L11)</f>
        <v>104000</v>
      </c>
      <c r="P11" s="33">
        <f>M11-O11</f>
        <v>0</v>
      </c>
    </row>
    <row r="12" spans="2:16" x14ac:dyDescent="0.3">
      <c r="B12">
        <v>7</v>
      </c>
      <c r="C12" t="str">
        <f>_xlfn.XLOOKUP(tblCost[[#This Row],[Line]],tblBOM[Line],tblBOM[Item])</f>
        <v>DC solar cable 6 mm2 (red and black)</v>
      </c>
      <c r="D12" t="str">
        <f>_xlfn.XLOOKUP(tblCost[[#This Row],[Line]],tblBOM[Line],tblBOM[Category])</f>
        <v>DC electrical</v>
      </c>
      <c r="E12" s="24">
        <f>_xlfn.XLOOKUP(tblCost[[#This Row],[Line]],tblBOM[Line],tblBOM[Budget (PKR)])</f>
        <v>251680</v>
      </c>
      <c r="F12" s="26">
        <v>0</v>
      </c>
      <c r="G12" s="24">
        <f>IF(tblCost[[#This Row],[Committed (PKR)]]&gt;0,tblCost[[#This Row],[Committed (PKR)]],tblCost[[#This Row],[Budget (PKR)]])</f>
        <v>251680</v>
      </c>
      <c r="H12" s="24">
        <f>tblCost[[#This Row],[Budget (PKR)]]-tblCost[[#This Row],[Forecast (PKR)]]</f>
        <v>0</v>
      </c>
      <c r="I12" s="25">
        <f>IF(tblCost[[#This Row],[Budget (PKR)]]=0,0,tblCost[[#This Row],[Variance (PKR)]]/tblCost[[#This Row],[Budget (PKR)]])</f>
        <v>0</v>
      </c>
      <c r="L12" s="32" t="s">
        <v>60</v>
      </c>
      <c r="M12" s="33">
        <f>SUMIFS(tblCost[Budget (PKR)],tblCost[Category],L12)</f>
        <v>640000</v>
      </c>
      <c r="N12" s="33">
        <f>SUMIFS(tblCost[Committed (PKR)],tblCost[Category],L12)</f>
        <v>380000</v>
      </c>
      <c r="O12" s="33">
        <f>SUMIFS(tblCost[Forecast (PKR)],tblCost[Category],L12)</f>
        <v>640000</v>
      </c>
      <c r="P12" s="33">
        <f>M12-O12</f>
        <v>0</v>
      </c>
    </row>
    <row r="13" spans="2:16" x14ac:dyDescent="0.3">
      <c r="B13">
        <v>8</v>
      </c>
      <c r="C13" t="str">
        <f>_xlfn.XLOOKUP(tblCost[[#This Row],[Line]],tblBOM[Line],tblBOM[Item])</f>
        <v>MC4 connector pair</v>
      </c>
      <c r="D13" t="str">
        <f>_xlfn.XLOOKUP(tblCost[[#This Row],[Line]],tblBOM[Line],tblBOM[Category])</f>
        <v>DC electrical</v>
      </c>
      <c r="E13" s="24">
        <f>_xlfn.XLOOKUP(tblCost[[#This Row],[Line]],tblBOM[Line],tblBOM[Budget (PKR)])</f>
        <v>8750</v>
      </c>
      <c r="F13" s="26">
        <v>0</v>
      </c>
      <c r="G13" s="24">
        <f>IF(tblCost[[#This Row],[Committed (PKR)]]&gt;0,tblCost[[#This Row],[Committed (PKR)]],tblCost[[#This Row],[Budget (PKR)]])</f>
        <v>8750</v>
      </c>
      <c r="H13" s="24">
        <f>tblCost[[#This Row],[Budget (PKR)]]-tblCost[[#This Row],[Forecast (PKR)]]</f>
        <v>0</v>
      </c>
      <c r="I13" s="25">
        <f>IF(tblCost[[#This Row],[Budget (PKR)]]=0,0,tblCost[[#This Row],[Variance (PKR)]]/tblCost[[#This Row],[Budget (PKR)]])</f>
        <v>0</v>
      </c>
      <c r="L13" s="34" t="s">
        <v>71</v>
      </c>
      <c r="M13" s="35">
        <f>SUMIFS(tblCost[Budget (PKR)],tblCost[Category],L13)</f>
        <v>200000</v>
      </c>
      <c r="N13" s="35">
        <f>SUMIFS(tblCost[Committed (PKR)],tblCost[Category],L13)</f>
        <v>200000</v>
      </c>
      <c r="O13" s="35">
        <f>SUMIFS(tblCost[Forecast (PKR)],tblCost[Category],L13)</f>
        <v>200000</v>
      </c>
      <c r="P13" s="35">
        <f>M13-O13</f>
        <v>0</v>
      </c>
    </row>
    <row r="14" spans="2:16" x14ac:dyDescent="0.3">
      <c r="B14">
        <v>9</v>
      </c>
      <c r="C14" t="str">
        <f>_xlfn.XLOOKUP(tblCost[[#This Row],[Line]],tblBOM[Line],tblBOM[Item])</f>
        <v>Cable tray, galvanised</v>
      </c>
      <c r="D14" t="str">
        <f>_xlfn.XLOOKUP(tblCost[[#This Row],[Line]],tblBOM[Line],tblBOM[Category])</f>
        <v>DC electrical</v>
      </c>
      <c r="E14" s="24">
        <f>_xlfn.XLOOKUP(tblCost[[#This Row],[Line]],tblBOM[Line],tblBOM[Budget (PKR)])</f>
        <v>108000</v>
      </c>
      <c r="F14" s="26">
        <v>0</v>
      </c>
      <c r="G14" s="24">
        <f>IF(tblCost[[#This Row],[Committed (PKR)]]&gt;0,tblCost[[#This Row],[Committed (PKR)]],tblCost[[#This Row],[Budget (PKR)]])</f>
        <v>108000</v>
      </c>
      <c r="H14" s="24">
        <f>tblCost[[#This Row],[Budget (PKR)]]-tblCost[[#This Row],[Forecast (PKR)]]</f>
        <v>0</v>
      </c>
      <c r="I14" s="25">
        <f>IF(tblCost[[#This Row],[Budget (PKR)]]=0,0,tblCost[[#This Row],[Variance (PKR)]]/tblCost[[#This Row],[Budget (PKR)]])</f>
        <v>0</v>
      </c>
      <c r="L14" s="36" t="s">
        <v>74</v>
      </c>
      <c r="M14" s="37">
        <f>SUM(M6:M13)</f>
        <v>7106670</v>
      </c>
      <c r="N14" s="37">
        <f>SUM(N6:N13)</f>
        <v>6430580</v>
      </c>
      <c r="O14" s="37">
        <f>SUM(O6:O13)</f>
        <v>7144010</v>
      </c>
      <c r="P14" s="37">
        <f>SUM(P6:P13)</f>
        <v>-37340</v>
      </c>
    </row>
    <row r="15" spans="2:16" x14ac:dyDescent="0.3">
      <c r="B15">
        <v>10</v>
      </c>
      <c r="C15" t="str">
        <f>_xlfn.XLOOKUP(tblCost[[#This Row],[Line]],tblBOM[Line],tblBOM[Item])</f>
        <v>AC cable, 4-core 70 mm2 Cu armoured</v>
      </c>
      <c r="D15" t="str">
        <f>_xlfn.XLOOKUP(tblCost[[#This Row],[Line]],tblBOM[Line],tblBOM[Category])</f>
        <v>AC electrical</v>
      </c>
      <c r="E15" s="24">
        <f>_xlfn.XLOOKUP(tblCost[[#This Row],[Line]],tblBOM[Line],tblBOM[Budget (PKR)])</f>
        <v>280500</v>
      </c>
      <c r="F15" s="26">
        <v>269300</v>
      </c>
      <c r="G15" s="24">
        <f>IF(tblCost[[#This Row],[Committed (PKR)]]&gt;0,tblCost[[#This Row],[Committed (PKR)]],tblCost[[#This Row],[Budget (PKR)]])</f>
        <v>269300</v>
      </c>
      <c r="H15" s="24">
        <f>tblCost[[#This Row],[Budget (PKR)]]-tblCost[[#This Row],[Forecast (PKR)]]</f>
        <v>11200</v>
      </c>
      <c r="I15" s="25">
        <f>IF(tblCost[[#This Row],[Budget (PKR)]]=0,0,tblCost[[#This Row],[Variance (PKR)]]/tblCost[[#This Row],[Budget (PKR)]])</f>
        <v>3.9928698752228167E-2</v>
      </c>
    </row>
    <row r="16" spans="2:16" x14ac:dyDescent="0.3">
      <c r="B16">
        <v>11</v>
      </c>
      <c r="C16" t="str">
        <f>_xlfn.XLOOKUP(tblCost[[#This Row],[Line]],tblBOM[Line],tblBOM[Item])</f>
        <v>MCCB 4-pole 200 A</v>
      </c>
      <c r="D16" t="str">
        <f>_xlfn.XLOOKUP(tblCost[[#This Row],[Line]],tblBOM[Line],tblBOM[Category])</f>
        <v>AC electrical</v>
      </c>
      <c r="E16" s="24">
        <f>_xlfn.XLOOKUP(tblCost[[#This Row],[Line]],tblBOM[Line],tblBOM[Budget (PKR)])</f>
        <v>85000</v>
      </c>
      <c r="F16" s="26">
        <v>0</v>
      </c>
      <c r="G16" s="24">
        <f>IF(tblCost[[#This Row],[Committed (PKR)]]&gt;0,tblCost[[#This Row],[Committed (PKR)]],tblCost[[#This Row],[Budget (PKR)]])</f>
        <v>85000</v>
      </c>
      <c r="H16" s="24">
        <f>tblCost[[#This Row],[Budget (PKR)]]-tblCost[[#This Row],[Forecast (PKR)]]</f>
        <v>0</v>
      </c>
      <c r="I16" s="25">
        <f>IF(tblCost[[#This Row],[Budget (PKR)]]=0,0,tblCost[[#This Row],[Variance (PKR)]]/tblCost[[#This Row],[Budget (PKR)]])</f>
        <v>0</v>
      </c>
    </row>
    <row r="17" spans="2:9" x14ac:dyDescent="0.3">
      <c r="B17">
        <v>12</v>
      </c>
      <c r="C17" t="str">
        <f>_xlfn.XLOOKUP(tblCost[[#This Row],[Line]],tblBOM[Line],tblBOM[Item])</f>
        <v>Surge protection device, Type 2</v>
      </c>
      <c r="D17" t="str">
        <f>_xlfn.XLOOKUP(tblCost[[#This Row],[Line]],tblBOM[Line],tblBOM[Category])</f>
        <v>AC electrical</v>
      </c>
      <c r="E17" s="24">
        <f>_xlfn.XLOOKUP(tblCost[[#This Row],[Line]],tblBOM[Line],tblBOM[Budget (PKR)])</f>
        <v>28000</v>
      </c>
      <c r="F17" s="26">
        <v>28000</v>
      </c>
      <c r="G17" s="24">
        <f>IF(tblCost[[#This Row],[Committed (PKR)]]&gt;0,tblCost[[#This Row],[Committed (PKR)]],tblCost[[#This Row],[Budget (PKR)]])</f>
        <v>28000</v>
      </c>
      <c r="H17" s="24">
        <f>tblCost[[#This Row],[Budget (PKR)]]-tblCost[[#This Row],[Forecast (PKR)]]</f>
        <v>0</v>
      </c>
      <c r="I17" s="25">
        <f>IF(tblCost[[#This Row],[Budget (PKR)]]=0,0,tblCost[[#This Row],[Variance (PKR)]]/tblCost[[#This Row],[Budget (PKR)]])</f>
        <v>0</v>
      </c>
    </row>
    <row r="18" spans="2:9" x14ac:dyDescent="0.3">
      <c r="B18">
        <v>13</v>
      </c>
      <c r="C18" t="str">
        <f>_xlfn.XLOOKUP(tblCost[[#This Row],[Line]],tblBOM[Line],tblBOM[Item])</f>
        <v>Earthing (2 earth pits and 60 m cable)</v>
      </c>
      <c r="D18" t="str">
        <f>_xlfn.XLOOKUP(tblCost[[#This Row],[Line]],tblBOM[Line],tblBOM[Category])</f>
        <v>Earthing</v>
      </c>
      <c r="E18" s="24">
        <f>_xlfn.XLOOKUP(tblCost[[#This Row],[Line]],tblBOM[Line],tblBOM[Budget (PKR)])</f>
        <v>104000</v>
      </c>
      <c r="F18" s="26">
        <v>104000</v>
      </c>
      <c r="G18" s="24">
        <f>IF(tblCost[[#This Row],[Committed (PKR)]]&gt;0,tblCost[[#This Row],[Committed (PKR)]],tblCost[[#This Row],[Budget (PKR)]])</f>
        <v>104000</v>
      </c>
      <c r="H18" s="24">
        <f>tblCost[[#This Row],[Budget (PKR)]]-tblCost[[#This Row],[Forecast (PKR)]]</f>
        <v>0</v>
      </c>
      <c r="I18" s="25">
        <f>IF(tblCost[[#This Row],[Budget (PKR)]]=0,0,tblCost[[#This Row],[Variance (PKR)]]/tblCost[[#This Row],[Budget (PKR)]])</f>
        <v>0</v>
      </c>
    </row>
    <row r="19" spans="2:9" x14ac:dyDescent="0.3">
      <c r="B19">
        <v>14</v>
      </c>
      <c r="C19" t="str">
        <f>_xlfn.XLOOKUP(tblCost[[#This Row],[Line]],tblBOM[Line],tblBOM[Item])</f>
        <v>Installation crew</v>
      </c>
      <c r="D19" t="str">
        <f>_xlfn.XLOOKUP(tblCost[[#This Row],[Line]],tblBOM[Line],tblBOM[Category])</f>
        <v>Labour and services</v>
      </c>
      <c r="E19" s="24">
        <f>_xlfn.XLOOKUP(tblCost[[#This Row],[Line]],tblBOM[Line],tblBOM[Budget (PKR)])</f>
        <v>150000</v>
      </c>
      <c r="F19" s="26">
        <v>150000</v>
      </c>
      <c r="G19" s="24">
        <f>IF(tblCost[[#This Row],[Committed (PKR)]]&gt;0,tblCost[[#This Row],[Committed (PKR)]],tblCost[[#This Row],[Budget (PKR)]])</f>
        <v>150000</v>
      </c>
      <c r="H19" s="24">
        <f>tblCost[[#This Row],[Budget (PKR)]]-tblCost[[#This Row],[Forecast (PKR)]]</f>
        <v>0</v>
      </c>
      <c r="I19" s="25">
        <f>IF(tblCost[[#This Row],[Budget (PKR)]]=0,0,tblCost[[#This Row],[Variance (PKR)]]/tblCost[[#This Row],[Budget (PKR)]])</f>
        <v>0</v>
      </c>
    </row>
    <row r="20" spans="2:9" x14ac:dyDescent="0.3">
      <c r="B20">
        <v>15</v>
      </c>
      <c r="C20" t="str">
        <f>_xlfn.XLOOKUP(tblCost[[#This Row],[Line]],tblBOM[Line],tblBOM[Item])</f>
        <v>Electrical crew</v>
      </c>
      <c r="D20" t="str">
        <f>_xlfn.XLOOKUP(tblCost[[#This Row],[Line]],tblBOM[Line],tblBOM[Category])</f>
        <v>Labour and services</v>
      </c>
      <c r="E20" s="24">
        <f>_xlfn.XLOOKUP(tblCost[[#This Row],[Line]],tblBOM[Line],tblBOM[Budget (PKR)])</f>
        <v>140000</v>
      </c>
      <c r="F20" s="26">
        <v>0</v>
      </c>
      <c r="G20" s="24">
        <f>IF(tblCost[[#This Row],[Committed (PKR)]]&gt;0,tblCost[[#This Row],[Committed (PKR)]],tblCost[[#This Row],[Budget (PKR)]])</f>
        <v>140000</v>
      </c>
      <c r="H20" s="24">
        <f>tblCost[[#This Row],[Budget (PKR)]]-tblCost[[#This Row],[Forecast (PKR)]]</f>
        <v>0</v>
      </c>
      <c r="I20" s="25">
        <f>IF(tblCost[[#This Row],[Budget (PKR)]]=0,0,tblCost[[#This Row],[Variance (PKR)]]/tblCost[[#This Row],[Budget (PKR)]])</f>
        <v>0</v>
      </c>
    </row>
    <row r="21" spans="2:9" x14ac:dyDescent="0.3">
      <c r="B21">
        <v>16</v>
      </c>
      <c r="C21" t="str">
        <f>_xlfn.XLOOKUP(tblCost[[#This Row],[Line]],tblBOM[Line],tblBOM[Item])</f>
        <v>Transport and lifting</v>
      </c>
      <c r="D21" t="str">
        <f>_xlfn.XLOOKUP(tblCost[[#This Row],[Line]],tblBOM[Line],tblBOM[Category])</f>
        <v>Labour and services</v>
      </c>
      <c r="E21" s="24">
        <f>_xlfn.XLOOKUP(tblCost[[#This Row],[Line]],tblBOM[Line],tblBOM[Budget (PKR)])</f>
        <v>150000</v>
      </c>
      <c r="F21" s="26">
        <v>150000</v>
      </c>
      <c r="G21" s="24">
        <f>IF(tblCost[[#This Row],[Committed (PKR)]]&gt;0,tblCost[[#This Row],[Committed (PKR)]],tblCost[[#This Row],[Budget (PKR)]])</f>
        <v>150000</v>
      </c>
      <c r="H21" s="24">
        <f>tblCost[[#This Row],[Budget (PKR)]]-tblCost[[#This Row],[Forecast (PKR)]]</f>
        <v>0</v>
      </c>
      <c r="I21" s="25">
        <f>IF(tblCost[[#This Row],[Budget (PKR)]]=0,0,tblCost[[#This Row],[Variance (PKR)]]/tblCost[[#This Row],[Budget (PKR)]])</f>
        <v>0</v>
      </c>
    </row>
    <row r="22" spans="2:9" x14ac:dyDescent="0.3">
      <c r="B22">
        <v>17</v>
      </c>
      <c r="C22" t="str">
        <f>_xlfn.XLOOKUP(tblCost[[#This Row],[Line]],tblBOM[Line],tblBOM[Item])</f>
        <v>Access and safety equipment</v>
      </c>
      <c r="D22" t="str">
        <f>_xlfn.XLOOKUP(tblCost[[#This Row],[Line]],tblBOM[Line],tblBOM[Category])</f>
        <v>Labour and services</v>
      </c>
      <c r="E22" s="24">
        <f>_xlfn.XLOOKUP(tblCost[[#This Row],[Line]],tblBOM[Line],tblBOM[Budget (PKR)])</f>
        <v>80000</v>
      </c>
      <c r="F22" s="26">
        <v>80000</v>
      </c>
      <c r="G22" s="24">
        <f>IF(tblCost[[#This Row],[Committed (PKR)]]&gt;0,tblCost[[#This Row],[Committed (PKR)]],tblCost[[#This Row],[Budget (PKR)]])</f>
        <v>80000</v>
      </c>
      <c r="H22" s="24">
        <f>tblCost[[#This Row],[Budget (PKR)]]-tblCost[[#This Row],[Forecast (PKR)]]</f>
        <v>0</v>
      </c>
      <c r="I22" s="25">
        <f>IF(tblCost[[#This Row],[Budget (PKR)]]=0,0,tblCost[[#This Row],[Variance (PKR)]]/tblCost[[#This Row],[Budget (PKR)]])</f>
        <v>0</v>
      </c>
    </row>
    <row r="23" spans="2:9" x14ac:dyDescent="0.3">
      <c r="B23">
        <v>18</v>
      </c>
      <c r="C23" t="str">
        <f>_xlfn.XLOOKUP(tblCost[[#This Row],[Line]],tblBOM[Line],tblBOM[Item])</f>
        <v>Testing and commissioning</v>
      </c>
      <c r="D23" t="str">
        <f>_xlfn.XLOOKUP(tblCost[[#This Row],[Line]],tblBOM[Line],tblBOM[Category])</f>
        <v>Labour and services</v>
      </c>
      <c r="E23" s="24">
        <f>_xlfn.XLOOKUP(tblCost[[#This Row],[Line]],tblBOM[Line],tblBOM[Budget (PKR)])</f>
        <v>120000</v>
      </c>
      <c r="F23" s="26">
        <v>0</v>
      </c>
      <c r="G23" s="24">
        <f>IF(tblCost[[#This Row],[Committed (PKR)]]&gt;0,tblCost[[#This Row],[Committed (PKR)]],tblCost[[#This Row],[Budget (PKR)]])</f>
        <v>120000</v>
      </c>
      <c r="H23" s="24">
        <f>tblCost[[#This Row],[Budget (PKR)]]-tblCost[[#This Row],[Forecast (PKR)]]</f>
        <v>0</v>
      </c>
      <c r="I23" s="25">
        <f>IF(tblCost[[#This Row],[Budget (PKR)]]=0,0,tblCost[[#This Row],[Variance (PKR)]]/tblCost[[#This Row],[Budget (PKR)]])</f>
        <v>0</v>
      </c>
    </row>
    <row r="24" spans="2:9" x14ac:dyDescent="0.3">
      <c r="B24">
        <v>19</v>
      </c>
      <c r="C24" t="str">
        <f>_xlfn.XLOOKUP(tblCost[[#This Row],[Line]],tblBOM[Line],tblBOM[Item])</f>
        <v>Net-metering application and meter</v>
      </c>
      <c r="D24" t="str">
        <f>_xlfn.XLOOKUP(tblCost[[#This Row],[Line]],tblBOM[Line],tblBOM[Category])</f>
        <v>Approvals</v>
      </c>
      <c r="E24" s="24">
        <f>_xlfn.XLOOKUP(tblCost[[#This Row],[Line]],tblBOM[Line],tblBOM[Budget (PKR)])</f>
        <v>200000</v>
      </c>
      <c r="F24" s="26">
        <v>200000</v>
      </c>
      <c r="G24" s="24">
        <f>IF(tblCost[[#This Row],[Committed (PKR)]]&gt;0,tblCost[[#This Row],[Committed (PKR)]],tblCost[[#This Row],[Budget (PKR)]])</f>
        <v>200000</v>
      </c>
      <c r="H24" s="24">
        <f>tblCost[[#This Row],[Budget (PKR)]]-tblCost[[#This Row],[Forecast (PKR)]]</f>
        <v>0</v>
      </c>
      <c r="I24" s="25">
        <f>IF(tblCost[[#This Row],[Budget (PKR)]]=0,0,tblCost[[#This Row],[Variance (PKR)]]/tblCost[[#This Row],[Budget (PKR)]])</f>
        <v>0</v>
      </c>
    </row>
    <row r="25" spans="2:9" x14ac:dyDescent="0.3">
      <c r="B25" s="27"/>
      <c r="C25" s="27" t="s">
        <v>74</v>
      </c>
      <c r="D25" s="27"/>
      <c r="E25" s="27">
        <f>SUBTOTAL(109,tblCost[Budget (PKR)])</f>
        <v>7106670</v>
      </c>
      <c r="F25" s="28">
        <f>SUBTOTAL(109,tblCost[Committed (PKR)])</f>
        <v>6430580</v>
      </c>
      <c r="G25" s="27">
        <f>SUBTOTAL(109,tblCost[Forecast (PKR)])</f>
        <v>7144010</v>
      </c>
      <c r="H25" s="27">
        <f>SUBTOTAL(109,tblCost[Variance (PKR)])</f>
        <v>-37340</v>
      </c>
      <c r="I25" s="27"/>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8A8F3-FBE0-4ACA-AEF7-3BC1EE8C93A2}">
  <sheetPr>
    <tabColor rgb="FF1F3864"/>
  </sheetPr>
  <dimension ref="B2:Q34"/>
  <sheetViews>
    <sheetView showGridLines="0" tabSelected="1" zoomScale="72" zoomScaleNormal="72" workbookViewId="0"/>
  </sheetViews>
  <sheetFormatPr defaultRowHeight="14.4" x14ac:dyDescent="0.3"/>
  <cols>
    <col min="1" max="1" width="2.77734375" customWidth="1"/>
    <col min="2" max="2" width="19.5546875" bestFit="1" customWidth="1"/>
    <col min="3" max="3" width="11.5546875" bestFit="1" customWidth="1"/>
    <col min="4" max="14" width="12.77734375" customWidth="1"/>
    <col min="15" max="15" width="15.77734375" customWidth="1"/>
    <col min="16" max="16" width="8.77734375" customWidth="1"/>
    <col min="17" max="17" width="12.77734375" customWidth="1"/>
  </cols>
  <sheetData>
    <row r="2" spans="2:17" ht="28.05" customHeight="1" x14ac:dyDescent="0.45">
      <c r="B2" s="1" t="s">
        <v>107</v>
      </c>
    </row>
    <row r="3" spans="2:17" x14ac:dyDescent="0.3">
      <c r="B3" s="2" t="str">
        <f>"Status date "&amp;TEXT(Procurement!D6,"dd mmm yyyy")&amp;". PKR rates are indicative."</f>
        <v>Status date 21 Sept 2026. PKR rates are indicative.</v>
      </c>
    </row>
    <row r="4" spans="2:17" ht="7.95" customHeight="1" x14ac:dyDescent="0.3"/>
    <row r="5" spans="2:17" ht="18" customHeight="1" x14ac:dyDescent="0.3">
      <c r="B5" s="40" t="s">
        <v>108</v>
      </c>
      <c r="C5" s="38"/>
      <c r="D5" s="38"/>
      <c r="E5" s="38"/>
      <c r="F5" s="40" t="s">
        <v>109</v>
      </c>
      <c r="G5" s="38"/>
      <c r="H5" s="38"/>
      <c r="I5" s="38"/>
      <c r="J5" s="40" t="s">
        <v>110</v>
      </c>
      <c r="K5" s="38"/>
      <c r="L5" s="38"/>
      <c r="M5" s="38"/>
      <c r="N5" s="40" t="s">
        <v>111</v>
      </c>
      <c r="O5" s="38"/>
      <c r="P5" s="38"/>
      <c r="Q5" s="39"/>
    </row>
    <row r="6" spans="2:17" ht="34.049999999999997" customHeight="1" x14ac:dyDescent="0.5">
      <c r="B6" s="41">
        <f>'Inputs &amp; BOM'!K7</f>
        <v>114.84</v>
      </c>
      <c r="C6" s="42"/>
      <c r="D6" s="42"/>
      <c r="E6" s="42"/>
      <c r="F6" s="47">
        <f>SUM(tblCost[Budget (PKR)])</f>
        <v>7106670</v>
      </c>
      <c r="G6" s="42"/>
      <c r="H6" s="42"/>
      <c r="I6" s="42"/>
      <c r="J6" s="47">
        <f>SUM(tblCost[Forecast (PKR)])</f>
        <v>7144010</v>
      </c>
      <c r="K6" s="42"/>
      <c r="L6" s="42"/>
      <c r="M6" s="42"/>
      <c r="N6" s="48" t="str">
        <f>COUNTIF(tblProc[Status],"Late delivery")+COUNTIF(tblProc[Status],"Order overdue")&amp;" late or overdue"</f>
        <v>3 late or overdue</v>
      </c>
      <c r="O6" s="42"/>
      <c r="P6" s="42"/>
      <c r="Q6" s="43"/>
    </row>
    <row r="7" spans="2:17" ht="18" customHeight="1" x14ac:dyDescent="0.3">
      <c r="B7" s="44" t="str">
        <f>"Voltage check: "&amp;'Inputs &amp; BOM'!K10</f>
        <v>Voltage check: OK</v>
      </c>
      <c r="C7" s="45"/>
      <c r="D7" s="45"/>
      <c r="E7" s="45"/>
      <c r="F7" s="44" t="str">
        <f>"PKR "&amp;TEXT(SUM(tblCost[Budget (PKR)])/('Inputs &amp; BOM'!K7*1000),"0.0")&amp;" per Wp"</f>
        <v>PKR 61.9 per Wp</v>
      </c>
      <c r="G7" s="45"/>
      <c r="H7" s="45"/>
      <c r="I7" s="45"/>
      <c r="J7" s="44" t="str">
        <f>IF(SUM(tblCost[Variance (PKR)])&lt;0,"PKR "&amp;TEXT(-SUM(tblCost[Variance (PKR)]),"#,##0")&amp;" over budget","Within budget")</f>
        <v>PKR 37,340 over budget</v>
      </c>
      <c r="K7" s="45"/>
      <c r="L7" s="45"/>
      <c r="M7" s="45"/>
      <c r="N7" s="44" t="str">
        <f>COUNTIF(tblProc[Status],"Order due")&amp;" to order within 3 days"</f>
        <v>4 to order within 3 days</v>
      </c>
      <c r="O7" s="45"/>
      <c r="P7" s="45"/>
      <c r="Q7" s="46"/>
    </row>
    <row r="9" spans="2:17" ht="15.6" x14ac:dyDescent="0.3">
      <c r="O9" s="4" t="s">
        <v>112</v>
      </c>
    </row>
    <row r="10" spans="2:17" x14ac:dyDescent="0.3">
      <c r="O10" s="29" t="s">
        <v>94</v>
      </c>
      <c r="P10" s="29" t="s">
        <v>113</v>
      </c>
    </row>
    <row r="11" spans="2:17" x14ac:dyDescent="0.3">
      <c r="O11" t="s">
        <v>92</v>
      </c>
      <c r="P11">
        <f>COUNTIF(tblProc[Status],O11)</f>
        <v>5</v>
      </c>
    </row>
    <row r="12" spans="2:17" x14ac:dyDescent="0.3">
      <c r="O12" t="s">
        <v>114</v>
      </c>
      <c r="P12">
        <f>COUNTIF(tblProc[Status],O12)</f>
        <v>6</v>
      </c>
    </row>
    <row r="13" spans="2:17" x14ac:dyDescent="0.3">
      <c r="O13" t="s">
        <v>115</v>
      </c>
      <c r="P13">
        <f>COUNTIF(tblProc[Status],O13)</f>
        <v>4</v>
      </c>
    </row>
    <row r="14" spans="2:17" x14ac:dyDescent="0.3">
      <c r="O14" t="s">
        <v>116</v>
      </c>
      <c r="P14">
        <f>COUNTIF(tblProc[Status],O14)</f>
        <v>1</v>
      </c>
    </row>
    <row r="15" spans="2:17" x14ac:dyDescent="0.3">
      <c r="O15" t="s">
        <v>117</v>
      </c>
      <c r="P15">
        <f>COUNTIF(tblProc[Status],O15)</f>
        <v>2</v>
      </c>
    </row>
    <row r="16" spans="2:17" x14ac:dyDescent="0.3">
      <c r="O16" t="s">
        <v>118</v>
      </c>
      <c r="P16">
        <f>COUNTIF(tblProc[Status],O16)</f>
        <v>1</v>
      </c>
    </row>
    <row r="17" spans="2:16" x14ac:dyDescent="0.3">
      <c r="O17" s="3" t="s">
        <v>74</v>
      </c>
      <c r="P17" s="3">
        <f>SUM(P11:P16)</f>
        <v>19</v>
      </c>
    </row>
    <row r="24" spans="2:16" ht="15.6" x14ac:dyDescent="0.3">
      <c r="B24" s="4" t="s">
        <v>119</v>
      </c>
    </row>
    <row r="25" spans="2:16" x14ac:dyDescent="0.3">
      <c r="B25" s="49" t="s">
        <v>21</v>
      </c>
      <c r="C25" t="s">
        <v>121</v>
      </c>
    </row>
    <row r="26" spans="2:16" x14ac:dyDescent="0.3">
      <c r="B26" t="s">
        <v>30</v>
      </c>
      <c r="C26" s="13">
        <v>3100680</v>
      </c>
    </row>
    <row r="27" spans="2:16" x14ac:dyDescent="0.3">
      <c r="B27" t="s">
        <v>35</v>
      </c>
      <c r="C27" s="13">
        <v>1492000</v>
      </c>
    </row>
    <row r="28" spans="2:16" x14ac:dyDescent="0.3">
      <c r="B28" t="s">
        <v>40</v>
      </c>
      <c r="C28" s="13">
        <v>808060</v>
      </c>
    </row>
    <row r="29" spans="2:16" x14ac:dyDescent="0.3">
      <c r="B29" t="s">
        <v>60</v>
      </c>
      <c r="C29" s="13">
        <v>640000</v>
      </c>
    </row>
    <row r="30" spans="2:16" x14ac:dyDescent="0.3">
      <c r="B30" t="s">
        <v>53</v>
      </c>
      <c r="C30" s="13">
        <v>393500</v>
      </c>
    </row>
    <row r="31" spans="2:16" x14ac:dyDescent="0.3">
      <c r="B31" t="s">
        <v>46</v>
      </c>
      <c r="C31" s="13">
        <v>368430</v>
      </c>
    </row>
    <row r="32" spans="2:16" x14ac:dyDescent="0.3">
      <c r="B32" t="s">
        <v>71</v>
      </c>
      <c r="C32" s="13">
        <v>200000</v>
      </c>
    </row>
    <row r="33" spans="2:3" x14ac:dyDescent="0.3">
      <c r="B33" t="s">
        <v>57</v>
      </c>
      <c r="C33" s="13">
        <v>104000</v>
      </c>
    </row>
    <row r="34" spans="2:3" x14ac:dyDescent="0.3">
      <c r="B34" t="s">
        <v>120</v>
      </c>
      <c r="C34" s="13">
        <v>7106670</v>
      </c>
    </row>
  </sheetData>
  <mergeCells count="12">
    <mergeCell ref="J5:M5"/>
    <mergeCell ref="J6:M6"/>
    <mergeCell ref="J7:M7"/>
    <mergeCell ref="N5:Q5"/>
    <mergeCell ref="N6:Q6"/>
    <mergeCell ref="N7:Q7"/>
    <mergeCell ref="B5:E5"/>
    <mergeCell ref="B6:E6"/>
    <mergeCell ref="B7:E7"/>
    <mergeCell ref="F5:I5"/>
    <mergeCell ref="F6:I6"/>
    <mergeCell ref="F7:I7"/>
  </mergeCells>
  <pageMargins left="0.7" right="0.7" top="0.75" bottom="0.75" header="0.3" footer="0.3"/>
  <drawing r:id="rId2"/>
  <extLst>
    <ext xmlns:x14="http://schemas.microsoft.com/office/spreadsheetml/2009/9/main" uri="{A8765BA9-456A-4dab-B4F3-ACF838C121DE}">
      <x14:slicerList>
        <x14:slicer r:id="rId3"/>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Inputs &amp; BOM</vt:lpstr>
      <vt:lpstr>Procurement</vt:lpstr>
      <vt:lpstr>Cost</vt:lpstr>
      <vt:lpstr>Dashboard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Usama Javed</dc:creator>
  <cp:lastModifiedBy>Usama Javed</cp:lastModifiedBy>
  <dcterms:created xsi:type="dcterms:W3CDTF">2026-09-21T23:50:35Z</dcterms:created>
  <dcterms:modified xsi:type="dcterms:W3CDTF">2026-09-21T23:50:53Z</dcterms:modified>
</cp:coreProperties>
</file>